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cgarcia\Downloads\"/>
    </mc:Choice>
  </mc:AlternateContent>
  <xr:revisionPtr revIDLastSave="0" documentId="8_{77C932F6-1831-484F-B3E1-F4497C04093A}" xr6:coauthVersionLast="47" xr6:coauthVersionMax="47" xr10:uidLastSave="{00000000-0000-0000-0000-000000000000}"/>
  <bookViews>
    <workbookView xWindow="-120" yWindow="-120" windowWidth="29040" windowHeight="15840" xr2:uid="{00000000-000D-0000-FFFF-FFFF00000000}"/>
  </bookViews>
  <sheets>
    <sheet name="Inversión" sheetId="5" r:id="rId1"/>
    <sheet name="Operación" sheetId="7" r:id="rId2"/>
    <sheet name="MSPI" sheetId="8" state="hidden" r:id="rId3"/>
    <sheet name="OptimizarSI" sheetId="9" state="hidden" r:id="rId4"/>
    <sheet name="GobiernoTI" sheetId="10" state="hidden" r:id="rId5"/>
  </sheets>
  <definedNames>
    <definedName name="_xlnm.Print_Area" localSheetId="0">Inversión!$A$1:$Q$165</definedName>
    <definedName name="_xlnm.Print_Area" localSheetId="1">Operación!$A$1:$Q$72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2" i="5" l="1"/>
  <c r="L35" i="7" l="1"/>
  <c r="I35" i="7" s="1"/>
  <c r="I44" i="7"/>
  <c r="I43" i="7"/>
  <c r="I42" i="7"/>
  <c r="I41" i="7"/>
  <c r="I40" i="7"/>
  <c r="I38" i="7"/>
  <c r="I37" i="7"/>
  <c r="I36" i="7"/>
  <c r="I34" i="7"/>
  <c r="I88" i="5"/>
  <c r="I87" i="5"/>
  <c r="I86" i="5"/>
  <c r="I85" i="5"/>
  <c r="I84" i="5"/>
  <c r="I62" i="5"/>
  <c r="I61" i="5"/>
  <c r="I59" i="5"/>
  <c r="I58" i="5"/>
  <c r="M24" i="7"/>
  <c r="L24" i="7"/>
  <c r="K24" i="7"/>
  <c r="J24" i="7"/>
  <c r="M54" i="7"/>
  <c r="K54" i="7"/>
  <c r="L54" i="7" s="1"/>
  <c r="J54" i="7"/>
  <c r="I30" i="7"/>
  <c r="M138" i="5"/>
  <c r="K138" i="5"/>
  <c r="L138" i="5" s="1"/>
  <c r="M150" i="5"/>
  <c r="K150" i="5"/>
  <c r="L150" i="5" s="1"/>
  <c r="J150" i="5"/>
  <c r="M144" i="5"/>
  <c r="K144" i="5"/>
  <c r="L144" i="5" s="1"/>
  <c r="J144" i="5"/>
  <c r="M130" i="5"/>
  <c r="L130" i="5"/>
  <c r="K130" i="5"/>
  <c r="J124" i="5"/>
  <c r="J130" i="5" s="1"/>
  <c r="M28" i="5"/>
  <c r="K28" i="5"/>
  <c r="L28" i="5" s="1"/>
  <c r="J28" i="5"/>
  <c r="J16" i="5" s="1"/>
  <c r="M10" i="5"/>
  <c r="K10" i="5"/>
  <c r="I48" i="5"/>
  <c r="I112" i="5"/>
  <c r="I98" i="5"/>
  <c r="I92" i="5"/>
  <c r="I74" i="5"/>
  <c r="I144" i="5" l="1"/>
  <c r="M16" i="5"/>
  <c r="I150" i="5"/>
  <c r="I28" i="5"/>
  <c r="I138" i="5"/>
  <c r="K16" i="5"/>
  <c r="I124" i="5"/>
  <c r="L10" i="5"/>
  <c r="L16" i="5" s="1"/>
  <c r="I54" i="7"/>
  <c r="I24" i="7"/>
  <c r="I130" i="5"/>
  <c r="I10" i="5" l="1"/>
  <c r="I16" i="5"/>
  <c r="J140" i="5"/>
  <c r="J139" i="5" s="1"/>
  <c r="J26" i="7"/>
  <c r="J56" i="7"/>
  <c r="J55" i="7" s="1"/>
  <c r="J106" i="5"/>
  <c r="J44" i="5" l="1"/>
  <c r="J17" i="8"/>
  <c r="I9" i="8"/>
  <c r="I32" i="7"/>
  <c r="I31" i="7"/>
  <c r="I29" i="7"/>
  <c r="I28" i="7"/>
  <c r="I7" i="10" l="1"/>
  <c r="I6" i="10"/>
  <c r="G39" i="9"/>
  <c r="F47" i="9"/>
  <c r="K37" i="9"/>
  <c r="K38" i="9"/>
  <c r="K36" i="9"/>
  <c r="H38" i="9"/>
  <c r="H37" i="9"/>
  <c r="H36" i="9"/>
  <c r="F48" i="9"/>
  <c r="F43" i="9"/>
  <c r="E50" i="9"/>
  <c r="E49" i="9"/>
  <c r="E48" i="9"/>
  <c r="E47" i="9"/>
  <c r="D45" i="9"/>
  <c r="E45" i="9" s="1"/>
  <c r="E46" i="9"/>
  <c r="E44" i="9"/>
  <c r="E43" i="9"/>
  <c r="G36" i="9"/>
  <c r="E33" i="9"/>
  <c r="E32" i="9"/>
  <c r="E31" i="9"/>
  <c r="E30" i="9"/>
  <c r="Q8" i="9"/>
  <c r="P8" i="9"/>
  <c r="N7" i="9"/>
  <c r="N8" i="9"/>
  <c r="N9" i="9"/>
  <c r="N10" i="9"/>
  <c r="N11" i="9"/>
  <c r="N12" i="9"/>
  <c r="N13" i="9"/>
  <c r="N14" i="9"/>
  <c r="N15" i="9"/>
  <c r="N16" i="9"/>
  <c r="N17" i="9"/>
  <c r="N18" i="9"/>
  <c r="N20" i="9"/>
  <c r="N21" i="9"/>
  <c r="N22" i="9"/>
  <c r="N23" i="9"/>
  <c r="N24" i="9"/>
  <c r="N25" i="9"/>
  <c r="N26" i="9"/>
  <c r="N6" i="9"/>
  <c r="G17" i="8" l="1"/>
  <c r="I24" i="5"/>
  <c r="I23" i="5"/>
  <c r="I21" i="5"/>
  <c r="I20" i="5"/>
  <c r="N6" i="8"/>
  <c r="N7" i="8"/>
  <c r="N17" i="8" s="1"/>
  <c r="N8" i="8"/>
  <c r="N9" i="8"/>
  <c r="N10" i="8"/>
  <c r="N11" i="8"/>
  <c r="N12" i="8"/>
  <c r="N13" i="8"/>
  <c r="N14" i="8"/>
  <c r="N5" i="8"/>
  <c r="J11" i="5"/>
  <c r="E39" i="9" l="1"/>
  <c r="I100" i="5"/>
  <c r="I99" i="5"/>
  <c r="I97" i="5"/>
  <c r="I96" i="5"/>
  <c r="I56" i="5"/>
  <c r="I55" i="5"/>
  <c r="I53" i="5"/>
  <c r="I52" i="5"/>
  <c r="I50" i="5"/>
  <c r="I49" i="5"/>
  <c r="I47" i="5"/>
  <c r="I46" i="5"/>
  <c r="I106" i="5"/>
  <c r="I105" i="5"/>
  <c r="I103" i="5"/>
  <c r="I102" i="5"/>
  <c r="I94" i="5"/>
  <c r="I93" i="5"/>
  <c r="I91" i="5"/>
  <c r="I90" i="5"/>
  <c r="I82" i="5"/>
  <c r="I81" i="5"/>
  <c r="I79" i="5"/>
  <c r="I78" i="5"/>
  <c r="I68" i="5"/>
  <c r="I67" i="5"/>
  <c r="I65" i="5"/>
  <c r="I64" i="5"/>
  <c r="I44" i="5"/>
  <c r="I43" i="5"/>
  <c r="I41" i="5"/>
  <c r="I40" i="5"/>
  <c r="I38" i="5"/>
  <c r="I34" i="5"/>
  <c r="I26" i="7" l="1"/>
  <c r="I56" i="7"/>
  <c r="I55" i="7"/>
  <c r="I152" i="5"/>
  <c r="I146" i="5"/>
  <c r="I50" i="7"/>
  <c r="I49" i="7"/>
  <c r="I46" i="7"/>
  <c r="I140" i="5"/>
  <c r="I126" i="5"/>
  <c r="I119" i="5"/>
  <c r="I113" i="5"/>
  <c r="L53" i="7"/>
  <c r="I53" i="7" s="1"/>
  <c r="I52" i="7"/>
  <c r="I25" i="7"/>
  <c r="I22" i="7"/>
  <c r="I14" i="7"/>
  <c r="I8" i="7"/>
  <c r="I143" i="5"/>
  <c r="I151" i="5"/>
  <c r="I148" i="5"/>
  <c r="I145" i="5"/>
  <c r="I142" i="5"/>
  <c r="I139" i="5"/>
  <c r="I137" i="5"/>
  <c r="I136" i="5"/>
  <c r="I110" i="5"/>
  <c r="I111" i="5"/>
  <c r="I114" i="5"/>
  <c r="I116" i="5"/>
  <c r="I117" i="5"/>
  <c r="I120" i="5"/>
  <c r="I122" i="5"/>
  <c r="I123" i="5"/>
  <c r="I125" i="5"/>
  <c r="I128" i="5"/>
  <c r="I129" i="5"/>
  <c r="I131" i="5"/>
  <c r="I132" i="5"/>
  <c r="I72" i="5"/>
  <c r="I76" i="5"/>
  <c r="I75" i="5"/>
  <c r="I73" i="5"/>
  <c r="I47" i="7" l="1"/>
  <c r="I23" i="7"/>
  <c r="I149" i="5"/>
  <c r="I9" i="5" l="1"/>
  <c r="I30" i="5"/>
  <c r="I29" i="5"/>
  <c r="I27" i="5"/>
  <c r="I8" i="5"/>
  <c r="I12" i="5"/>
  <c r="I11" i="5"/>
  <c r="I15" i="5"/>
  <c r="I18" i="5"/>
  <c r="I17" i="5"/>
  <c r="I26" i="5"/>
  <c r="I14" i="5"/>
  <c r="I118" i="5"/>
</calcChain>
</file>

<file path=xl/sharedStrings.xml><?xml version="1.0" encoding="utf-8"?>
<sst xmlns="http://schemas.openxmlformats.org/spreadsheetml/2006/main" count="820" uniqueCount="206">
  <si>
    <t>No</t>
  </si>
  <si>
    <t>Objetivo Estrategico al que aporta</t>
  </si>
  <si>
    <t>Responsable /
Dependencia
Radicado avance</t>
  </si>
  <si>
    <t>Programación/Ejecución</t>
  </si>
  <si>
    <t>1er Trim</t>
  </si>
  <si>
    <t>2do Trim</t>
  </si>
  <si>
    <t>3er Trim</t>
  </si>
  <si>
    <t>4to Trim</t>
  </si>
  <si>
    <t>Programado</t>
  </si>
  <si>
    <t>Ejecutado</t>
  </si>
  <si>
    <t>Presupuesto asociado</t>
  </si>
  <si>
    <t>Girado</t>
  </si>
  <si>
    <t>Fecha:</t>
  </si>
  <si>
    <t>Firma Elaboro:</t>
  </si>
  <si>
    <t>Nombre Elaboro:</t>
  </si>
  <si>
    <t>Nombre del Jefe</t>
  </si>
  <si>
    <t xml:space="preserve">Firma del Jefe: </t>
  </si>
  <si>
    <t>Proyecto Alto Componente Tic / Hitos Importantes a Desarrollar</t>
  </si>
  <si>
    <t xml:space="preserve">Meta Cuatrienio </t>
  </si>
  <si>
    <t>Avances de cada Hito / Observaciones</t>
  </si>
  <si>
    <t>Describa los avances cualitativos obtenidos del hito o entregable respectivo  durante el trimestre y/o los atrasos o dificultades.</t>
  </si>
  <si>
    <t>Prestar servicios profesionales para realizar acompañamiento y apoyo en la gestión de los servicios dispuestos por la Oficina de Tecnología de la Información y las Comunicaciones de la Secretaría General, en el marco de Gestionar y mantener el modelo de seguridad y privacidad de la información</t>
  </si>
  <si>
    <t>No aplica</t>
  </si>
  <si>
    <t xml:space="preserve"> Programa: Gestionar y mantener el modelo de seguridad y privacidad de la información.</t>
  </si>
  <si>
    <t>Promover procesos de
transformación digital
en la Secretaría
General para aportar a
la gestión pública
eficiente
Meta: Implementar en un 100% el modelo de Seguridad y Privacidad de la Información</t>
  </si>
  <si>
    <t xml:space="preserve"> Programa: Actualizar y ampliar los servicios tecnológicos de la Secretaria General. </t>
  </si>
  <si>
    <t>Promover procesos de
transformación digital
en la Secretaría
General para aportar a
la gestión pública
eficiente
Meta:Mantener una plataforma tecnológica y de redes de la Secretaría General actualizada</t>
  </si>
  <si>
    <t xml:space="preserve"> Programa: Optimizar sistemas de información y de gestión de datos de la Secretaria General. </t>
  </si>
  <si>
    <t>Desarrollo e implementación Sistema de Bogotá Internacional - SIBI</t>
  </si>
  <si>
    <t>Desarrollo e implementación Sistema de asignación de turnos para los puntos de atención - Nuevo SAT</t>
  </si>
  <si>
    <t>Atención a  los requerimientos de carácter técnico que se presenten respecto de la infraestructura tecnológica, en especial los relacionados con el tema eléctrico y/o de cableado estructurado en las diferentes sedes de la la Secretaria General de la Alcaldía Mayor de Bogotá D.C</t>
  </si>
  <si>
    <t>Servicios de apoyo para implementar soluciones de software, brindar soporte técnico y gestionar los sistemas de información que estén bajo la responsabilidad técnica de la Oficina de Tecnologías de la Información y las Comunicaciones de la Secretaria General. (Inlcuye plataforma si@apital (SAE/SAI, hoja de vida vehículos-SHV, gestión contractual, presupuesto, financieros, facturación y su interoperabilidad, personal y nómina PERNO, Contabilidad LIMAY y su interoperabilidad)</t>
  </si>
  <si>
    <t>Promover procesos de
transformación digital
en la Secretaría
General para aportar a
la gestión pública
eficiente
Meta: Mantener una plataforma tecnológica y de redes de la Secretaría General actualizada</t>
  </si>
  <si>
    <t xml:space="preserve"> Programa: Fortalecer la Gobernalidad de TI en la Secretaria General. </t>
  </si>
  <si>
    <t>Meta TI: Desarrollar los lineamientos en materia tecnológica, así como las estrategias y prácticas que habiliten la gestión de la entidad y del Sector Gestión Pública</t>
  </si>
  <si>
    <t>Meta TI: Implementar y mantener la infraestructura tecnológica y elementos ofimáticos.</t>
  </si>
  <si>
    <t>Fortalecer la presentación del servicio de la ciudadanía con oportunidad, eficiencia y transparencia a través del uso de la tecnología y la cualificación de los servidores.</t>
  </si>
  <si>
    <t>Promover procesos de transformación digital en la Secretaria General para aportar la gestión pública y eficiente.</t>
  </si>
  <si>
    <r>
      <t xml:space="preserve">Registre la </t>
    </r>
    <r>
      <rPr>
        <b/>
        <u/>
        <sz val="9"/>
        <color theme="2" tint="-0.499984740745262"/>
        <rFont val="Arial"/>
        <family val="2"/>
      </rPr>
      <t xml:space="preserve">ejecución </t>
    </r>
    <r>
      <rPr>
        <sz val="9"/>
        <color theme="2" tint="-0.499984740745262"/>
        <rFont val="Arial"/>
        <family val="2"/>
      </rPr>
      <t>realizada en el trimestre de la vigencia</t>
    </r>
  </si>
  <si>
    <r>
      <t xml:space="preserve">Registre la </t>
    </r>
    <r>
      <rPr>
        <b/>
        <u/>
        <sz val="9"/>
        <color theme="2" tint="-0.499984740745262"/>
        <rFont val="Arial"/>
        <family val="2"/>
      </rPr>
      <t xml:space="preserve">ejecución presupuestal </t>
    </r>
    <r>
      <rPr>
        <sz val="9"/>
        <color theme="2" tint="-0.499984740745262"/>
        <rFont val="Arial"/>
        <family val="2"/>
      </rPr>
      <t>realizada en el trimestre de la vigencia</t>
    </r>
  </si>
  <si>
    <r>
      <t xml:space="preserve">Registre el </t>
    </r>
    <r>
      <rPr>
        <b/>
        <u/>
        <sz val="9"/>
        <color theme="2" tint="-0.499984740745262"/>
        <rFont val="Arial"/>
        <family val="2"/>
      </rPr>
      <t xml:space="preserve">presupuesto girado </t>
    </r>
    <r>
      <rPr>
        <sz val="9"/>
        <color theme="2" tint="-0.499984740745262"/>
        <rFont val="Arial"/>
        <family val="2"/>
      </rPr>
      <t>realizado en el trimestre de la vigencia</t>
    </r>
  </si>
  <si>
    <t>Consolidado por: Isabel Cristina García Lemus</t>
  </si>
  <si>
    <t>Ingeniero Rafael Londoño Carantón</t>
  </si>
  <si>
    <t>Digital</t>
  </si>
  <si>
    <t>Oficina Tecnologías de la Información y las Comunicaciones</t>
  </si>
  <si>
    <r>
      <t xml:space="preserve">Ejecución Acumulada a Dic. </t>
    </r>
    <r>
      <rPr>
        <b/>
        <u/>
        <sz val="10"/>
        <rFont val="Arial"/>
        <family val="2"/>
      </rPr>
      <t>2022</t>
    </r>
  </si>
  <si>
    <t xml:space="preserve"> Programa: Actualizar la plataforma de seguridad de la información.</t>
  </si>
  <si>
    <t xml:space="preserve">Desarrollo e implementación Portales y micrositios </t>
  </si>
  <si>
    <t>Adquirir la extensión de garantía para el
sistema Store Once que se encuentren
fuera de garantía y que hacen parte de
la infraestructura tecnológica de la
Secretaría General.
Cont. 587</t>
  </si>
  <si>
    <t>Gestionar y mantener el modelo de seguridad y privacidad de la información.</t>
  </si>
  <si>
    <t>Contrato</t>
  </si>
  <si>
    <t>Nombre</t>
  </si>
  <si>
    <t>Enero</t>
  </si>
  <si>
    <t>Febrero</t>
  </si>
  <si>
    <t>Marzo</t>
  </si>
  <si>
    <t>GABRIEL ESTEBAN PINEDA SANDOVAL</t>
  </si>
  <si>
    <t>Vlr Contrato</t>
  </si>
  <si>
    <t xml:space="preserve">SANDRA VIVIANA MUÑOZ </t>
  </si>
  <si>
    <t>LUIS HERMES PACHON ROMERO</t>
  </si>
  <si>
    <t>ANGELICA MARIA ESPITIA GARZON</t>
  </si>
  <si>
    <t>YEISON MORENO GOMEZ</t>
  </si>
  <si>
    <t>ANA MARIA BOCANEGRA VALBUENA</t>
  </si>
  <si>
    <t>WILSON ORLANDO HORTUA RAMOS</t>
  </si>
  <si>
    <t>CARLOS JULIAN CALVETE FERREIRA</t>
  </si>
  <si>
    <t>DARIO ORLANDO BECERRA ERAZO</t>
  </si>
  <si>
    <t>LOURDES MARIA ACUÑA ACUÑA</t>
  </si>
  <si>
    <t>Meta</t>
  </si>
  <si>
    <t>Adquirir la Actualización y soporte del Licenciamiento de productos Oracle a través del Instrumento de Agregación por Demanda CCE-139-IAD-2020 
Cont. 465</t>
  </si>
  <si>
    <t>Servicios de nube pública en el segmento Microsoft a través del Acuerdo Marco de Precios No. CCE-908-1- AMP-2019, para la Secretaría General de la Alcaldía Mayor de Bogotá D.C
Cont. 603</t>
  </si>
  <si>
    <t xml:space="preserve">Optimizar sistemas de información y de gestión de datos de la Secretaria General. </t>
  </si>
  <si>
    <t>GIROS</t>
  </si>
  <si>
    <t xml:space="preserve">Nombre del proyecto </t>
  </si>
  <si>
    <t>Nombre o Razón social</t>
  </si>
  <si>
    <t>Apoyo Supervisión</t>
  </si>
  <si>
    <t xml:space="preserve">Total Contrato </t>
  </si>
  <si>
    <t>Clasificación</t>
  </si>
  <si>
    <t>SI3</t>
  </si>
  <si>
    <t>Total Trimestre</t>
  </si>
  <si>
    <t>Vlr SI1</t>
  </si>
  <si>
    <t>Vlr SI2</t>
  </si>
  <si>
    <t>Vlr SI3</t>
  </si>
  <si>
    <t>DIANA MAYERLY MONGUI VERGARA</t>
  </si>
  <si>
    <t>María Elsa Socha</t>
  </si>
  <si>
    <t>Plan de Trabajo</t>
  </si>
  <si>
    <t>LUIS EDUARDO FLOREZ MENDEZ</t>
  </si>
  <si>
    <t>RONALD YESID RAMIREZ GRACIA</t>
  </si>
  <si>
    <t>SAT</t>
  </si>
  <si>
    <t>JORGE LUIS GUACA TORRES</t>
  </si>
  <si>
    <t>SIBI</t>
  </si>
  <si>
    <t>JASSON JAIR MORA PUIN</t>
  </si>
  <si>
    <t>Augusto Silva</t>
  </si>
  <si>
    <t>NILSON ANDRES VILLALO PEÑALOZA</t>
  </si>
  <si>
    <t>ERNEY OCTAVIO TULANDE DULCEY</t>
  </si>
  <si>
    <t>WILMAR GOMEZ JOYA</t>
  </si>
  <si>
    <t>JAVIER ALCALA VASQUEZ</t>
  </si>
  <si>
    <t>ALEXANDER LEON GARCIA</t>
  </si>
  <si>
    <t>Raúl Camacho</t>
  </si>
  <si>
    <t>Demanda</t>
  </si>
  <si>
    <t>HECTOR FABIO MAYOR DIEZ</t>
  </si>
  <si>
    <t>Roberto Zabala</t>
  </si>
  <si>
    <t>WILSON NIÑO ROMERO</t>
  </si>
  <si>
    <t>Zulma Galeano</t>
  </si>
  <si>
    <t>MONICA JANNETH ARGOTY MOREANO</t>
  </si>
  <si>
    <t>JAVIER ANDRES APONTE FUENTES</t>
  </si>
  <si>
    <t>Fanny González</t>
  </si>
  <si>
    <t>HECTOR ALEXANDER MARTINEZ SILVA</t>
  </si>
  <si>
    <t>GUSTAVO ANDRES RODRIGUEZ BELTRAN</t>
  </si>
  <si>
    <t>LUZ HELENA CHICANGANA VIDAL</t>
  </si>
  <si>
    <t>HERNANDO ENRIQUE OLARTE SANCHEZ</t>
  </si>
  <si>
    <t>CAMILO ANDRES BARBOSA TRIANA</t>
  </si>
  <si>
    <t>OLGA TERESA BELTRAN REINA</t>
  </si>
  <si>
    <t>KAREN LORENA ESPITIA</t>
  </si>
  <si>
    <t>LILIAN BRISETH MARTINEZ SALDAÑA</t>
  </si>
  <si>
    <t>SINDY STEPHANIE VILLAREAL</t>
  </si>
  <si>
    <t>Fanny Gonzalez</t>
  </si>
  <si>
    <t>Portales</t>
  </si>
  <si>
    <t>Mantenimiento</t>
  </si>
  <si>
    <t>Primer Trimestre</t>
  </si>
  <si>
    <t>Comprometido</t>
  </si>
  <si>
    <t>Total Trimestre I</t>
  </si>
  <si>
    <t>ROBERTO ZABALA</t>
  </si>
  <si>
    <t>Supervisor</t>
  </si>
  <si>
    <t>Wilson Hortua</t>
  </si>
  <si>
    <t>Rafael Londoño</t>
  </si>
  <si>
    <t>Contrato 2023</t>
  </si>
  <si>
    <t>Contrato 2022</t>
  </si>
  <si>
    <t>RESERVA 2022 - GIROS 2023</t>
  </si>
  <si>
    <t>Segundo Trimestre</t>
  </si>
  <si>
    <t>Tercer trimestre</t>
  </si>
  <si>
    <t>Cuarto trimestre</t>
  </si>
  <si>
    <t>Prestar el servicio de una solución tecnológica de internet e interconexión para las sedes de la Secretaria General de la Alcaldía Mayor de Bogotá. D.C
Cont 711 de 2021</t>
  </si>
  <si>
    <t>Gestión e implementación del plan de transición y adopción del protocolo IPv6
Cont. 18</t>
  </si>
  <si>
    <r>
      <rPr>
        <b/>
        <sz val="10"/>
        <rFont val="Arial"/>
        <family val="2"/>
      </rPr>
      <t>Ejecución desde 2022 (Reserva)</t>
    </r>
    <r>
      <rPr>
        <sz val="10"/>
        <rFont val="Arial"/>
        <family val="2"/>
      </rPr>
      <t>: Prestar servicios profesionales para realizar acompañamiento y apoyo en la gestión de los servicios dispuestos por la Oficina de Tecnología de la Información y las Comunicaciones de la Secretaría General, en el marco de Gestionar y mantener el modelo de seguridad y privacidad de la información. Contratos 53, 192 y 61 de 2022
** Se registra ejecución actividades y presupuestal sin embargo no se considera en el presupuesto apropiado y ejecutado para la vigencia 2023</t>
    </r>
  </si>
  <si>
    <r>
      <rPr>
        <b/>
        <sz val="10"/>
        <rFont val="Arial"/>
        <family val="2"/>
      </rPr>
      <t xml:space="preserve">Ejecución desde 2022 (Reserva): </t>
    </r>
    <r>
      <rPr>
        <sz val="10"/>
        <rFont val="Arial"/>
        <family val="2"/>
      </rPr>
      <t>Adquirir un sistema de almacenamiento de misión crítica restructurando el Datacenter principal que conforma la infraestructura de la de la Secretaria General de la Alcaldía Mayor de Bogotá D.C
Cont 730 de 2022
** Se registra ejecución actividades y presupuestal sin embargo no se considera en el presupuesto apropiado y ejecutado para la vigencia 2023</t>
    </r>
  </si>
  <si>
    <r>
      <rPr>
        <b/>
        <sz val="10"/>
        <rFont val="Arial"/>
        <family val="2"/>
      </rPr>
      <t xml:space="preserve">Ejecución desde 2022 (Reserva): </t>
    </r>
    <r>
      <rPr>
        <sz val="10"/>
        <rFont val="Arial"/>
        <family val="2"/>
      </rPr>
      <t>Adición y Prórroga al contrato 67-2022, cuyo objeto es: Prestar servicios profesionales para instalación, soporte, mantenimiento, administración y monitoreo de las plataformas tecnologícas basadas en nubes públicas de la Secretaría General de los diferentes ambientes de trabajo definidos por la entidad producción, pre-producción, pruebas y contingencia).
** Se registra ejecución actividades y presupuestal sin embargo no se considera en el presupuesto apropiado y ejecutado para la vigencia 2023</t>
    </r>
  </si>
  <si>
    <r>
      <rPr>
        <b/>
        <sz val="10"/>
        <rFont val="Arial"/>
        <family val="2"/>
      </rPr>
      <t xml:space="preserve">Ejecución desde 2022: </t>
    </r>
    <r>
      <rPr>
        <sz val="10"/>
        <rFont val="Arial"/>
        <family val="2"/>
      </rPr>
      <t xml:space="preserve"> Adquirir la extensión de garantías para los equipos DELL de misión crítica y de comunicaciones que  hacen parte de la red e infraestructura tecnológica de la Secretaría General 
Cont 1005 de 2022</t>
    </r>
  </si>
  <si>
    <r>
      <rPr>
        <b/>
        <sz val="10"/>
        <rFont val="Arial"/>
        <family val="2"/>
      </rPr>
      <t>Ejecución desde 2022 (Reserva primer trimestre):</t>
    </r>
    <r>
      <rPr>
        <sz val="10"/>
        <rFont val="Arial"/>
        <family val="2"/>
      </rPr>
      <t xml:space="preserve"> Adquisición, configuración, instalación de licencias (software) para fortalecer la plataforma tecnológica de la Secretaría General de la Alcaldía Mayor de Bogotá D.C 
Cont 1008 de 2022
** Se registra ejecución actividades y presupuestal en el primer trimestre, sin embargo, no se considera en el presupuesto apropiado y ejecutado para la vigencia 2023 para este primer periodo</t>
    </r>
  </si>
  <si>
    <r>
      <rPr>
        <b/>
        <sz val="10"/>
        <rFont val="Arial"/>
        <family val="2"/>
      </rPr>
      <t>Ejecución desde 2022 (Reserva):</t>
    </r>
    <r>
      <rPr>
        <sz val="10"/>
        <rFont val="Arial"/>
        <family val="2"/>
      </rPr>
      <t xml:space="preserve"> Realizar mantenimiento de activos de monitoreo propios, almacenamiento, tabletas del SAT y demás elementos de la RedCADE, UPS y Baterías
Objeto: Adquisición, instalación y puesta en
funcionamiento de memorias para
actualizar los equipos de cómputo, e
impresoras de turnos para la Secretaria
general de la Alcaldía mayor de Bogotá
D.C. Cont 1009 y 1010 de 2022
Objeto: Adquisición, instalación y puesta en
funcionamiento de tabletas industriales
para la Secretaria General de la Alcaldía
Mayor de Bogotá D.C. Cont 989 de 2022
** Se registra ejecución actividades y presupuestal sin embargo no se considera en el presupuesto apropiado y ejecutado para la vigencia 2023</t>
    </r>
  </si>
  <si>
    <r>
      <rPr>
        <b/>
        <sz val="10"/>
        <rFont val="Arial"/>
        <family val="2"/>
      </rPr>
      <t>Ejecución desde 2022:</t>
    </r>
    <r>
      <rPr>
        <sz val="10"/>
        <rFont val="Arial"/>
        <family val="2"/>
      </rPr>
      <t xml:space="preserve"> Prestación de servicios de mantenimiento preventivo  y/o correctivo con repuestos a la Unidad  Ininterrumpida de Potencia - UPS de 40 KVA., marca  MITSUBISHI, ubicada en el Data Center del Edificio Liévano.
Cont 683 de 2022</t>
    </r>
  </si>
  <si>
    <r>
      <rPr>
        <b/>
        <sz val="10"/>
        <rFont val="Arial"/>
        <family val="2"/>
      </rPr>
      <t xml:space="preserve">Ejecución desde 2022 (Reserva primer trimestre):
</t>
    </r>
    <r>
      <rPr>
        <sz val="10"/>
        <rFont val="Arial"/>
        <family val="2"/>
      </rPr>
      <t xml:space="preserve"> Prestación de servicios de mantenimiento preventivo  y/o correctivo con repuestos  a los Aires de  precisión de los datacenter de las diferentes sedes de  la Secretaria General.
Cont 736 de 2022
** Se registra ejecución actividades y presupuestal en el primer trimestre, sin embargo, no se considera en el presupuesto apropiado y ejecutado para la vigencia 2023 para este primer periodo</t>
    </r>
  </si>
  <si>
    <t>Gestor</t>
  </si>
  <si>
    <r>
      <rPr>
        <b/>
        <sz val="10"/>
        <rFont val="Arial"/>
        <family val="2"/>
      </rPr>
      <t>Gestor: Lourdes Acuña</t>
    </r>
    <r>
      <rPr>
        <sz val="10"/>
        <rFont val="Arial"/>
        <family val="2"/>
      </rPr>
      <t xml:space="preserve">
Apoyo Supervisión: Fanny González Rodríguez </t>
    </r>
  </si>
  <si>
    <t>Gestores-Supervisores de contrato: 
Zulma Galeano
Wilson Hortúa
Raúl Camacho</t>
  </si>
  <si>
    <t xml:space="preserve">Zulma Galeano (Contrato 53 de 2022 Viviana Muñoz)
Wilson Hortúa (Contrato 152 de 2022 Yeison Moreno)
</t>
  </si>
  <si>
    <t>Wilson Hortúa</t>
  </si>
  <si>
    <t>Hugo Páez</t>
  </si>
  <si>
    <t xml:space="preserve">Líder SI: Augusto Silva </t>
  </si>
  <si>
    <t xml:space="preserve">Gestores-Supervisores de contrato: 
Zulma Galeano
María Elsa Socha
Augusto Silva
Wilson Hortúa
</t>
  </si>
  <si>
    <t>Angélica Espitia</t>
  </si>
  <si>
    <r>
      <rPr>
        <b/>
        <sz val="10"/>
        <rFont val="Arial"/>
        <family val="2"/>
      </rPr>
      <t>Gestor: Lilian Briseth Martínez Saldaña</t>
    </r>
    <r>
      <rPr>
        <sz val="10"/>
        <rFont val="Arial"/>
        <family val="2"/>
      </rPr>
      <t xml:space="preserve">
Apoyo Supervisión: Fanny González Rodríguez </t>
    </r>
  </si>
  <si>
    <r>
      <rPr>
        <b/>
        <sz val="10"/>
        <rFont val="Arial"/>
        <family val="2"/>
      </rPr>
      <t>Gestor: Sindy Stephanie Villarreal Ramírez</t>
    </r>
    <r>
      <rPr>
        <sz val="10"/>
        <rFont val="Arial"/>
        <family val="2"/>
      </rPr>
      <t xml:space="preserve">
Apoyo Supervisión: Fanny González Rodríguez </t>
    </r>
  </si>
  <si>
    <t>Fanny González Rodríguez</t>
  </si>
  <si>
    <t>Isabel Cristina García Lemus</t>
  </si>
  <si>
    <t>Presupuesto Inicial</t>
  </si>
  <si>
    <t>Presupuesto Programado Actual</t>
  </si>
  <si>
    <t>Ejecutado / Comprometido</t>
  </si>
  <si>
    <r>
      <t xml:space="preserve">Registre el </t>
    </r>
    <r>
      <rPr>
        <b/>
        <u/>
        <sz val="9"/>
        <color theme="2" tint="-0.499984740745262"/>
        <rFont val="Arial"/>
        <family val="2"/>
      </rPr>
      <t>presupuesto programado</t>
    </r>
    <r>
      <rPr>
        <sz val="9"/>
        <color theme="2" tint="-0.499984740745262"/>
        <rFont val="Arial"/>
        <family val="2"/>
      </rPr>
      <t xml:space="preserve">  en el trimestre de la vigencia</t>
    </r>
  </si>
  <si>
    <t>Adquirir la extensión de garantía para
una libería robot de cintas que se
encuentren fuera de garantía y que
hacen parte de la infraestructura
tecnológica de la Secretaría General
Cont. 575</t>
  </si>
  <si>
    <r>
      <rPr>
        <b/>
        <sz val="11"/>
        <color theme="1"/>
        <rFont val="Calibri"/>
        <family val="2"/>
        <scheme val="minor"/>
      </rPr>
      <t>Gestor: Yeison Moreno</t>
    </r>
    <r>
      <rPr>
        <sz val="11"/>
        <color theme="1"/>
        <rFont val="Calibri"/>
        <family val="2"/>
        <scheme val="minor"/>
      </rPr>
      <t xml:space="preserve">
Apoyo Supervisión: Wilson Hortúa</t>
    </r>
  </si>
  <si>
    <r>
      <rPr>
        <b/>
        <sz val="11"/>
        <color theme="1"/>
        <rFont val="Calibri"/>
        <family val="2"/>
        <scheme val="minor"/>
      </rPr>
      <t>Gestor: Carlos Julián Calvete</t>
    </r>
    <r>
      <rPr>
        <sz val="11"/>
        <color theme="1"/>
        <rFont val="Calibri"/>
        <family val="2"/>
        <scheme val="minor"/>
      </rPr>
      <t xml:space="preserve">
Apoyo Supervisión: Wilson Hortúa</t>
    </r>
  </si>
  <si>
    <t>23 de Mayo de 2023</t>
  </si>
  <si>
    <t>- Se implementaron los micrositios de: Imprenta e IVC.
- Se desarrolló el micrositio interno del sitio Web principal del Archivo Distrital, Bogotá Historia Común 2.0.
- Se inició el proceso de desarrollo del sitio de Alta Consejería de TIC.
- Posterior a la finalización del micrositio de Alta TIC, se desarrollará el micrositio principal del Archivo Distrital.</t>
  </si>
  <si>
    <t>- El área funcional (Dirección Distrital de Relaciones Internacionales) ha cambiado en dos ocasiones el usuario funcional, lo que ha retrasado un poco las definiciones finales del proyecto.
- Se terminó el desarrollo planificado para marzo de 2023.
- La DDRI está analizando la posiblidad de adicionar nuevas funcionalidades al sistema antes de sacarlo a producción, lo que extendería un par de meses más su puesta en producción.</t>
  </si>
  <si>
    <t>- Debido al cambio de vigencia y el perfeccionamiento de los contratos de ingenieros de forma tardía en enero, el desarrollo sólo pudo continuarse a inicios de febrero.
- Se definió el producto mínimo viable con la participáción del jefe de la OTIC.
- Se implementó el ambiente de pruebas tanto para el equipo de desarrollo como para el área funcional.
- Se desarrollaron 6 historias de usuario de un total de 39.
- Se solicitó la vaiidación del diseño maestro del sistema con la Oficina Consejería de Comunicaciones (sin respuesta a la fecha).</t>
  </si>
  <si>
    <t>Se adquirió la actualización y soporte del licenciamiento de productos Oracle</t>
  </si>
  <si>
    <t>Proyecto Finalizado</t>
  </si>
  <si>
    <t xml:space="preserve"> * Definición de plan de seguridad y privacidad de la información de la Secretaría General de la Alcaldía de Bogotá
* Revisión Documental Inicial de Programa Integral para la Gestión de datos personales
* Definición al interior de OTIC de indicadores de seguridad de la información 
* Actualizaciòn de Bases de Datos ante el RNBD de la SIC y obtención de los certificados correspondientes.
* Elaboración de Listado Documental priorizado para actualización del MSPI
*Definición e inicio del Proceso Gestiòn de Activos de Informaciòn para la vigencia 2023
*Gestión de Incidentes de Seguridad de la Informaciòn
*Gestión de vulnerabilidades 
* Definición y desarrollo del Plan de Sensibilización y comunicaciones de seguridad y privacidad de la información</t>
  </si>
  <si>
    <r>
      <t xml:space="preserve">Durante el primer trimestre, se llevan a cabo las siguientes actividades:
* Se crea el repositorio del año 2023 para la OTIC, y se envía mail explicando el uso del mismo. Se realiza explicación general de cómo están creadas las carpetas en el repositorio y se asignan los permisos requeridos para que se pueda hacer el cargue de su información.  Se realiza la validación de permisos y se da una breve explicación de la organización del repositorio, con el fin que se realice el cargue de sus documentos, con la Ing. Isabel para explicar las carpetas del Repositorio asignadas a ella (PETI) y con el Ing. Carlos Calvete quien me solicitó creáramos la carpeta “Manuales” y se asignan los permisos al grupo de Infraestructura.   Se revisa el repositorio del 2023 con la Ing. Stephanie y la Ing. Fanny, modificando los nombres de los procesos y procedimientos de acuerdo a las actualizaciones realizadas. Se trabaja con el Ing. Wilson con quien validamos los permisos y las carpetas para el grupo de Infraestructura. 
* Se realizan diferentes solicitudes a la Oficina Consejería de Comunicaciones para publicaciones en SOY10 para la Secretaria General. 
*  Se apoya a la OTIC con la creación de FORMS para los registros de asistencia de las tres capacitaciones del sistema de gestión contractual dadas el 22, 23 y 24 de Febrero. 
* Según la primera mesa de trabajo de Gestión Documental se confirman las fechas de:   1.  visita técnica el Marzo 13 y   2. de transferencia documental en Abril 17. 
* La Subdirección de Gestión Documental realiza la visita técnica a la OTIC e indican que la documentación se encuentra clasificada y organizada cronológicamente, no cuenta con material metálico, dos documentos no estaban en sentido lectura.   Dejando compromisos para realizar el retiro de los memorandos en la carpeta de Actas, ajustar los documentos de manera que se evidencie el sentido lectura y hacer la corrección de la foliación.  Se realizan los ajustes para poder dar cumplimiento al cronograma de Transferencia Documentales 2023.    
* Se participa en la Capacitación de Uso del Sistema de Gestión Documental SIGA y en la mesa de trabajo para la actualización de las Tablas de Retención Documental, luego se socializa a los servidores de de la OTIC que van a participar en la mesa de trabajo para la modificación de las TRDs, quienes fueron convocados según lo indicado por la gestora de calidad para que asistan a esta mesa de trabajo.     
* Se recibe por parte del Ing. Jhon Rincón un total de 10 cintas magnéticas correspondientes a backups de los meses Octubre, Noviembre y Diciembre del 2022, dejando de esta manera un total de 58 cintas del 2022 en custodia las cuales están en la oficina OTIC de la sede  del Archivo Bogotá.
* Se realiza la organización de los documentos de la  vigencia 2020 para poder llevar a cabo el proceso de transferencia. Se recibe la primera visita técnica quienes validan que el proceso se esté realizando según lo establecido.       
</t>
    </r>
    <r>
      <rPr>
        <b/>
        <sz val="10"/>
        <rFont val="Arial"/>
        <family val="2"/>
      </rPr>
      <t xml:space="preserve">* </t>
    </r>
    <r>
      <rPr>
        <sz val="10"/>
        <rFont val="Arial"/>
        <family val="2"/>
      </rPr>
      <t>Se solicita por medio de correo electrónico a la Oficina de Planeación solicitando el cronograma de actividades para Gestión del conocimiento.</t>
    </r>
  </si>
  <si>
    <t>Gestión, tratamiento, aplicación de las tablas de retención documental ¿ TRD de la documentación, para el fortalecimiento de la Gobernalidad de TI de la Secretaria General de la Alcaldía Mayor de Bogotá D.C.
Cont. 159
Radicado 3-2023-15358</t>
  </si>
  <si>
    <t>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
Radicado 3-2023-15358</t>
  </si>
  <si>
    <t xml:space="preserve">* Se ha Gestionado la formulación, seguimiento a los indicadores de gestión a cargo de la Oficina TIC y retroalimentado los resultados, formulando acciones de mejora. Se realiza seguimientos mensuales para los meses de ENERO,FEBRERO Y MARZO
* Se ha Gestionado la formulación, seguimiento al mapa de riesgos de gestión para: Gestión de recursos físicos, Gestión de servicios administrativos y tecnológicos, Fortalecimiento institucional, y Direccionamiento estratégico
* Se realiza la gestion y seguimiento mensual de las acciones de:
a) Plan de ajuste y sostenibilidad a MIPG con seguimiento mensual para las 6 acciones definidas en los meses de ENERO,FEBRERO Y MARZO
b) Plan de Acción Integrado – PAI, con seguimiento mensual para las 4 acciones definidas en los meses de ENERO,FEBRERO Y MARZO.
c) Plan Anticorrupción y de Atención al Ciudadano (PAAC) con seguimiento mensual para las 5 acciones definidas en los meses de ENERO,FEBRERO Y MARZO
* Se ha participado en 3 publicaciones de la Oficina TIC en el sitio web de la Secretaria General de la Alcaldía Mayor de Bogota 
* Se ha realizado actividades de atencion de 2 auditorias internas para el trimestre internas asi como la formulacion y efectuar seguimiento a los planes de mejoramiento. Total de acciones abiertas 9, Total acciones cerradas :16
* Se ha Gestionado la elaboración, modificación, anulación y publicación de documentación, de procesos y procedimientos, conforme al procedimiento establecido por la Oficina Asesora de Planeación que requiera la Oficina de Tecnologías de la Información y las Comunicaciones.Para los procesos se han modificado en el 2023: Gestión de recursos físicos: 17, Gestión de servicios administrativos y tecnológicos: 14, Fortalecimiento institucional:13 y 
Direccionamiento estratégico:4
* Se ha Participado activamente como Gestor de Integridad en reuniones y campañas para los meses ENERO,FEBRERO Y MARZO.
* Se han desarrollado actividades de gestión y control a  3 peticiones ciudadanas allegadas a la OTIC para los meses ENERO,FEBRERO Y MARZO
</t>
  </si>
  <si>
    <t>Definición e implementación estrategia de uso y apropiación de tecnologías de la información
Radicado 3-2023-15358</t>
  </si>
  <si>
    <t xml:space="preserve"> - Se elaboró documento de uso y apropiación de TI 2023.
 - Se envió documento de uso y apropiación 2023 al jefe de la Oficina de Tecnologías de la Información y las Comunicaciones, para su revisión y aprobación.
 - Se realiza charla de:  Introducción al Servicio de Power Bi (07/02/2023), con asistencia de 30 personas   
- Se realiza charla de: Introducción al Servicio de Power Bi escritorio (09/02/2023), con asistencia de 20 personas.
 - Se realizó la charla Conoce mas sobre protección de datos personales (22/03/2023), con asistencia de 64 personas.
</t>
  </si>
  <si>
    <t>Análisis e implementación de Arquitectura Empresarial y Gestión de TI, para el fortalecimiento de la Gobernabilidad de TI de la Secretaría General de la Alcaldía Mayor de Bogotá 
Radicado 3-2023-15438</t>
  </si>
  <si>
    <t xml:space="preserve">* Se formulan las actividades del Plan Operativo para la vigencia 2023 proceso Direccionamiento Estratégico
* Se registra información correspondiente al seguimiento cuarto trimestre de la vigencia 2022 y se publica en el botón de transparencia de la Sede Electrónica 
https://secretariageneral.gov.co/transparencia-y-acceso-la-informacion-publica/plan-de-accion/plan-estrategico-de-las-tecnologias-de-la-informacion-y-las-comunicaciones-peti
* Se realiza proceso de actualización del Plan Estratégico de Tecnologías de la Información y las Comunicaciones en su hoja de ruta y proyectos, con base en el seguimiento cuarto trimestre de la vigencia 2022, con el fin de identificar los proyectos con continuidad en la vigencia 2023, se actualiza componente presupuestal vigencia 2022 y proyección presupuestal 2023. 
* Se modifica el procedimiento PR-116 Elaboración y Seguimiento al Plan Estratégico de Tecnologías de la Información y las Comunicaciones, subsanando las observaciones de la auditoría de calidad
* Se solicita la publicación de los Logros de los proyectos del PETI en la vigencia 2022 y la presentación de proyectos en ejecución para la vigencia 2023 en Soy 10
* Atención Auditoría Políticas de Seguridad Digital y Gobierno Digital
* Seguimiento al estado de la Arquitectura Empresarial con base en el ejercicio desarrollado por la ETB
* Se da inicio a la gestión para la reinstalación de la herramienta de Arquitectura Empresarial
* Pendiente aprobación Metodología Gestión de Proyectos de TI
</t>
  </si>
  <si>
    <t>Mesa de ayuda, impresión, mantenimiento preventivo y correctivo con bolsa de repuestos, para los elementos informáticos en la RED CADE y las diferentes sedes de la SecretaríaGeneral de la Alcaldía Mayor de Bogotá
 Cont 807 de 2021
Radicado 3-2023-15459</t>
  </si>
  <si>
    <t>Prestación de servicios de mesa de ayuda, impresión, mantenimiento preventivo y correctivo con bolsa de repuestos, para los elementos informáticos en la RED CADE y las diferentes sedes de la Secretaría General de la Alcaldía Mayor de Bogotá D.C.
 Cont 807 de 2021
Radicado 3-2023-15459</t>
  </si>
  <si>
    <t>Se prestan de forma continua el servicio de impresión donde se imprimen la siguiente cantidad de hojas impresas en las diferentes sedes:
Enero: 57355
Febrero: 72971
Marzo: 70602</t>
  </si>
  <si>
    <t>Adquisición, Instalación y puesta en funcionamiento de una solucion o sistema Firewalle. Adquirir la extensión de garantía para equipos FirewallWAF que se encuentren fuera de garantía y que hacen parte de la infraestructura tecnológica de la Secretaría General</t>
  </si>
  <si>
    <t>Jhon Rincón</t>
  </si>
  <si>
    <t>Sin programación en este trimestre</t>
  </si>
  <si>
    <t>Implementación Modelo de Seguridad y Privacidad de la Información
Cont. 148 y 547</t>
  </si>
  <si>
    <t>Adquirir productos y servicios Microsoft, para dar continuidad a las aplicaciones a través del instrumento de Agregación de demanda CCE-139-IAD-2020 para la Secretaría General</t>
  </si>
  <si>
    <t>Prestación de servicios de mantenimiento preventivo  y/o correctivo con repuestos a la Unidad  Ininterrumpida de Potencia - UPS de 40 KVA., marca  MITSUBISHI, ubicada en el Data Center del Edificio Liévano.</t>
  </si>
  <si>
    <t>Prestación de servicios de mantenimiento preventivo  y/o correctivo con repuestos  a los Aires de  precisión de los datacenter de las diferentes sedes de  la Secretaria General.</t>
  </si>
  <si>
    <t xml:space="preserve">Se ejecutó el 100% del valor y de las actividades programadas en el primer mes del 2023 para el contrato 1008-2022   la Adquisición, configuración, instalación de licencias (software) </t>
  </si>
  <si>
    <t>El contrato 548-2023 comenzó y terminó la ejecución en marzo y cumpliendo con todas obligaciones de acuerdo al presupuesto</t>
  </si>
  <si>
    <r>
      <rPr>
        <b/>
        <sz val="9"/>
        <rFont val="Arial"/>
        <family val="2"/>
      </rPr>
      <t xml:space="preserve">Ejecución desde 2022 (Reserva primer trimestre): </t>
    </r>
    <r>
      <rPr>
        <sz val="9"/>
        <rFont val="Arial"/>
        <family val="2"/>
      </rPr>
      <t>Prestación de servicios de acompañamiento de ABBY/server y renovación del licenciamiento Tableau  para la Secretaria General de la Alcaldía Mayor de Bogotá D.C. / Contratar el soporte, mantenimiento, upgrade y actualización -SMUA- a la licencia a perpetuidad de Abbyy FineReader  server de la Secretaría General de la Alcaldia Mayor de Bogotá.
Cont. 548</t>
    </r>
  </si>
  <si>
    <t xml:space="preserve">Para el contrato 1009-2022  se instalaron las memorias correspondientes   se efectua el primer pago correspondiente al 80%,  está pendiente el 20% restante hast la entrega por parte del proveedor de la documentacion respectiva.  
Para el contrato 989-2022 Adquisición, instalación y puesta en
funcionamiento de tabletas industriales,  se ejecutó en su totalidad y fue pagado el 100%  en el primer trimestre de 2023.
</t>
  </si>
  <si>
    <t xml:space="preserve">El contrato 53-2022 se ejecutó corectamente de acuerdo al presupuesto programado termina su ejecución a finales de marzo del 2023.
Para el contrato No. 192 de 2022 se realizaron las siguientes acciones: 
* Se atendieron casos registrados en el GLPI para configuración puntos de red de las diferentes sedes de la secretaría general y configuraciones en la plataforma de servidores 
* Se establece conferencias a través de la plataforma de corporativa de TEAMS dónde se graba sesión y se establece capacitación del sistema de gestión contractual.  
* Se solicita al proveedor asistencia debido a ventana de mantenimiento de apagado total de datacenter 
* Actividades de afinamiento, control y monitoreo de la red, se solicita inclusión en dispositivos de red de la entidad. 
* Se realizan labores de establecimiento de topología de red de la entidad. </t>
  </si>
  <si>
    <t xml:space="preserve">Para el desarrollo de esta actividad se realizaron las siguientes tareas: 
* Despliegue de imprenta Distrital  
* Monitoreo y Afinamiento de políticas de IPv6 </t>
  </si>
  <si>
    <t>Actividades realizadas en el primer trimestre:
* La solución se encuentra instalada físicamente, se realizaron los respectivos traslados de infraestructura, los datos se encuentran migrados en su totalidad y se cumplen con la totalidad de requerimientos técnicos solicitados.
* Se realiza instalación del hardware, a nivel de software se espera mejor desempeño den la compresión del dispositivo
*Se migra la totalidad de la data. El nuevo sistema de almacenamiento queda operativo.
* Se realiza movimiento de la infraestructura M1000 Dell y almacenamiento entre datacenter.</t>
  </si>
  <si>
    <t>Para el desarrollo del contrato No. 67 se desarrollaron las siguinetes actividades:
* Asignaron permisos de acceso a los recursos de Azure y a la información de consumos de la plataforma
* Configuraciones en las tareas de Jenkins para la ejecución de procesos de despliegue de los componentes de GAB solicitados por la Alta Consejería para las TIC.
* Transferencia de conocimiento en la administración de los recursos que se encuentran desplegados en Azure
* Gestión sobre los casos asignados en la herramienta GLPI y se documentan los procesos realizados para dar solución a los mismos.
* Ajustes en los diferentes sitios web que se tienen desplegados en infraestructura de Azure</t>
  </si>
  <si>
    <t>Para el primer trimestre se realizaron las siguientes actividades:
* Diseño de los estudios previos
* Diseño del RFI para simulación en el SECOP II
* Proceso contractual para adjudicación en el SECOP II
* Evaluación Técnica
* Adjudicación del contrato No. 575 de 2023.
* Perfeccionamiento de contrato.
* Inicio ejecución del contrato.</t>
  </si>
  <si>
    <t>Para el primer trimestre se realizaron las siguientes actividades:
* Diseño de los estudios previos
* Diseño del RFI para simulación en el SECOP II
* Proceso contractual para adjudicación en el SECOP II
* Evaluación Técnica
* Adjudicación del contrato No. 587 de 2023.
* Perfeccionamiento de contrato.
* Inicio ejecución del contrato.</t>
  </si>
  <si>
    <t xml:space="preserve">En el primer trimestre se desarrollaron solo una actividad la cual está relacionada con la solicitud de garantía para los discos duros del sistema de procesamiento M100e 
Sin embargo, las actividades de afinamiento, actualización y cambio de partes por garantía se programan para el segundo trimestre. </t>
  </si>
  <si>
    <t>Para el primer trimestre se realizaron las siguientes actividades:
* Diseño de los estudios previos
* Diseño del RFI para simulación en el SECOP II
* Proceso contractual para adjudicación en el SECOP II
* Evaluación Técnica
* Adjudicación de la Orden de Compra No. 107117 de 2023.
* Inicio de acercamiento con el proveedor para solicitar pílizas.</t>
  </si>
  <si>
    <t xml:space="preserve">* Mantenimientos a los sistemas, aplicaciones y sitios web: Nueva Sede Electrónica Secretaría General; Portal Centro de Gobierno; Intranet; Portal Centro de Memoria, Paz y Reconciliación  CMPR; Portal Web de la Alta Consejería de Paz, Víctimas y Reconciliación; Portal Guía de Trámites y Servicios; Integración con SUIT; Micrositio Bogotá una Historia Común; Sistema Bogotá te Escucha BTE; Servicio de Mediación RUES;  Nuevo SAT - Sistema de Asignación de Turnos;  Sistema Unificado Distrital de Inspección, VIgilancia y Control - SUDIVC; Sistema de Información Bogotá Internacional - SIBI; Sistema de Acuerdos Laborales - SIAL; Aplicativo HumanApp; Sistema Bogotá una Historia Común 2.0; Sistema de Archivo Distrital - El Cofre (SIAB)
* Validación de infraestructura para los servidores de Kouzou y Toshiya, sobre los cuales se encuentran los servicios de gestión contractual, presupuesto, financieros, facturación. 
* Monitoreo de los servicios desplegados en infraestructura Pública como también en los desplegados On premise, disminuyendo tiempos de RTO. 
* Configuración y seguimiento a las políticas creadas en el Firewall para la transmisión de información entre servicios. </t>
  </si>
  <si>
    <t>Se realizaron las siguientes actividades: 
* Actualización del sistema de GLPI para un correcto funcionamiento de la radicación y asignación de casos a la mesa de ayuda 
* Disponibilidad de personal idóneo para la solución de requerimientos por parte de la alcaldesa Mayor de Bogotá 
* Administración de servidores de misión crítica bajo infraestructura M1000e   
* Inicio de afinamiento a la plataforma del OSC Inventory  
* Asignación de recursos profesionales para el seguimiento y control de los proyectos de infraestructura. 
* Actividades de monitoreo, control y seguimiento en todo lo relacionado al procedimiento de incidentes y requerimientos tecnológicos de la Oficina de la Tecnologías de la Información y las Comunicaciones; ha presentado informes de seguimiento e indicadores de forma mensual en los subcomités de autocontrol y apoyo a la gestión contractual del contrato de mesa de ayuda de la Oficina OTIC. 
* Actividades de mantenimiento,  administración, monitoreo, soporte y/o actualizaciones a plataformas tecnologicas basdadas en Linux, así como verificación y remediación a las posibles vulnerabilidades y mitigar la materialización de riesgos y afectación a la seguridad de la información; La atención de estos servicios es a demanda por medio de la herramienta de gestión de servicios, por la cual se asignan casos de soporte para ser gestionados y solucionados para optimizar y garantizar el funcionamiento de la infraestructura plataformas tecnológicas basadas en Linux. 
* Se tramitaron  nuevos contratos: 140-2023 (Gestión Contractual),  158-2023 (PERNO), se tramitó adición y prórroga del contrato   168-2022 (limay) hasta el 16 de marzo del 2023 cumpliendo con todas las actividades programadas;   y posteriormente se tramitó nuevo contrato 578-2023 (limay sai/sae). Los contratos se ejecutan correctamente de acuerdo al presupuesto programado.</t>
  </si>
  <si>
    <t>Se realizó la liquidación del contrato el 30 de Diciembre de 2022
Se realizó la liberación del saldo por concepto de repuestos $3.000.00</t>
  </si>
  <si>
    <t>Se prestan de forma continua el servicio de mesa de Ayuda que se componen de Servicios Asignados (Nivel 0) y Servicios solucionados:
Enero:   2899- 870
Febrero:  2922 - 1028
Marzo: 2297 - 890</t>
  </si>
  <si>
    <t>El contrato 736-2022, se ejecutó durante la vigencia 2022.
Reserva = $ 3,786,191, a 31 de Marzo no se desembolsó porque el contratista no radicó la facturación y soportes correspondientes
El pago de la reserva será registrada en el siguiente seguimiento PEI (facturación del mes de Abril 2023)</t>
  </si>
  <si>
    <t>La  ejecución del contrato ha permitido el cumplImiemto del objeto, se tiene disponibilidad de los servicios de internet e  Inteconexión de las sedes; 
Presupuesto: se utilizó un saldo de reserva del presupuesto 2022 para pagos ejecutados en Febrero y Marzo de los servicios de la vigencia 
No se han presentado restrados o Dificultades</t>
  </si>
  <si>
    <t>23 de Mayo</t>
  </si>
  <si>
    <t>PLAN ESTRATÉGICO DE TECNOLOGÍA DE INFORMACIÓN  PETI 2020-2024
VIGENCIA 2023
PROGRAMACIÓN / EJECUCIÓN 
SEGUIMIENTO Primer Trimestre</t>
  </si>
  <si>
    <t>PLAN ESTRATÉGICO DE TECNOLOGÍA DE INFORMACIÓN  PETI 2020-2024
VIGENCIA 2023
PROGRAMACIÓN / EJECUCIÓN 
SEGUIMIENTO  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</si>
</sst>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 #,##0_);_(* \(#,##0\);_(* &quot;-&quot;??_);_(@_)"/>
    <numFmt numFmtId="165" formatCode="[$$-240A]\ #,##0.00"/>
    <numFmt numFmtId="166" formatCode="_-[$$-240A]\ * #,##0.00_-;\-[$$-240A]\ * #,##0.00_-;_-[$$-240A]\ * &quot;-&quot;??_-;_-@_-"/>
    <numFmt numFmtId="167" formatCode="_-* #,##0.00\ _€_-;\-* #,##0.00\ _€_-;_-* &quot;-&quot;??\ _€_-;_-@_-"/>
  </numFmts>
  <fonts count="27" x14ac:knownFonts="1">
    <font>
      <sz val="11"/>
      <color theme="1"/>
      <name val="Calibri"/>
      <family val="2"/>
      <scheme val="minor"/>
    </font>
    <font>
      <sz val="11"/>
      <color theme="1"/>
      <name val="Calibri"/>
      <family val="2"/>
      <scheme val="minor"/>
    </font>
    <font>
      <b/>
      <sz val="14"/>
      <name val="Arial"/>
      <family val="2"/>
    </font>
    <font>
      <sz val="11"/>
      <name val="Calibri"/>
      <family val="2"/>
      <scheme val="minor"/>
    </font>
    <font>
      <sz val="10"/>
      <name val="Calibri"/>
      <family val="2"/>
      <scheme val="minor"/>
    </font>
    <font>
      <sz val="9"/>
      <name val="Calibri"/>
      <family val="2"/>
      <scheme val="minor"/>
    </font>
    <font>
      <sz val="8"/>
      <name val="Calibri"/>
      <family val="2"/>
      <scheme val="minor"/>
    </font>
    <font>
      <b/>
      <sz val="9"/>
      <name val="Calibri"/>
      <family val="2"/>
      <scheme val="minor"/>
    </font>
    <font>
      <b/>
      <sz val="10"/>
      <name val="Arial"/>
      <family val="2"/>
    </font>
    <font>
      <b/>
      <sz val="9"/>
      <name val="Arial"/>
      <family val="2"/>
    </font>
    <font>
      <b/>
      <sz val="8"/>
      <name val="Arial"/>
      <family val="2"/>
    </font>
    <font>
      <sz val="9"/>
      <name val="Arial"/>
      <family val="2"/>
    </font>
    <font>
      <sz val="10"/>
      <name val="Arial"/>
      <family val="2"/>
    </font>
    <font>
      <sz val="8"/>
      <name val="Arial"/>
      <family val="2"/>
    </font>
    <font>
      <b/>
      <sz val="12"/>
      <name val="Arial"/>
      <family val="2"/>
    </font>
    <font>
      <b/>
      <sz val="9"/>
      <color theme="1"/>
      <name val="Arial"/>
      <family val="2"/>
    </font>
    <font>
      <sz val="12"/>
      <name val="Arial"/>
      <family val="2"/>
    </font>
    <font>
      <sz val="12"/>
      <color theme="0"/>
      <name val="Arial"/>
      <family val="2"/>
    </font>
    <font>
      <b/>
      <u/>
      <sz val="10"/>
      <name val="Arial"/>
      <family val="2"/>
    </font>
    <font>
      <sz val="9"/>
      <color theme="2" tint="-0.499984740745262"/>
      <name val="Arial"/>
      <family val="2"/>
    </font>
    <font>
      <b/>
      <u/>
      <sz val="9"/>
      <color theme="2" tint="-0.499984740745262"/>
      <name val="Arial"/>
      <family val="2"/>
    </font>
    <font>
      <sz val="10"/>
      <color theme="2" tint="-0.499984740745262"/>
      <name val="Arial"/>
      <family val="2"/>
    </font>
    <font>
      <b/>
      <sz val="11"/>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b/>
      <u/>
      <sz val="11"/>
      <color theme="1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193">
    <xf numFmtId="0" fontId="0" fillId="0" borderId="0" xfId="0"/>
    <xf numFmtId="0" fontId="3" fillId="0" borderId="0" xfId="0" applyFont="1"/>
    <xf numFmtId="0" fontId="4" fillId="0" borderId="0" xfId="0" applyFont="1" applyAlignment="1">
      <alignment horizontal="center" vertical="center"/>
    </xf>
    <xf numFmtId="0" fontId="5" fillId="0" borderId="0" xfId="0" applyFont="1"/>
    <xf numFmtId="0" fontId="6" fillId="0" borderId="0" xfId="0" applyFont="1"/>
    <xf numFmtId="0" fontId="4" fillId="0" borderId="0" xfId="0" applyFont="1"/>
    <xf numFmtId="0" fontId="7"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5" fillId="2" borderId="0" xfId="0" applyFont="1" applyFill="1" applyAlignment="1">
      <alignment horizontal="center"/>
    </xf>
    <xf numFmtId="0" fontId="1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3" fillId="0" borderId="0" xfId="0" applyFont="1" applyFill="1"/>
    <xf numFmtId="0" fontId="12" fillId="0" borderId="0" xfId="0" applyFont="1" applyAlignment="1">
      <alignment horizontal="center" vertical="center"/>
    </xf>
    <xf numFmtId="0" fontId="11" fillId="0" borderId="0" xfId="0" applyFont="1"/>
    <xf numFmtId="0" fontId="13" fillId="0" borderId="0" xfId="0" applyFont="1"/>
    <xf numFmtId="0" fontId="12" fillId="0" borderId="0" xfId="0" applyFont="1"/>
    <xf numFmtId="0" fontId="9" fillId="0" borderId="0" xfId="0" applyFont="1" applyAlignment="1">
      <alignment horizontal="center"/>
    </xf>
    <xf numFmtId="0" fontId="11" fillId="0" borderId="0" xfId="0" applyFont="1" applyAlignment="1">
      <alignment horizontal="center"/>
    </xf>
    <xf numFmtId="0" fontId="12" fillId="0" borderId="0" xfId="0" applyFont="1" applyFill="1" applyAlignment="1">
      <alignment horizontal="center" vertical="center"/>
    </xf>
    <xf numFmtId="0" fontId="11" fillId="0" borderId="0" xfId="0" applyFont="1" applyFill="1"/>
    <xf numFmtId="0" fontId="13" fillId="0" borderId="0" xfId="0" applyFont="1" applyFill="1"/>
    <xf numFmtId="0" fontId="12" fillId="0" borderId="0" xfId="0" applyFont="1" applyFill="1"/>
    <xf numFmtId="0" fontId="9" fillId="0" borderId="0" xfId="0" applyFont="1" applyFill="1" applyAlignment="1">
      <alignment horizontal="center"/>
    </xf>
    <xf numFmtId="0" fontId="11" fillId="0" borderId="0" xfId="0" applyFont="1" applyFill="1" applyAlignment="1">
      <alignment horizontal="center"/>
    </xf>
    <xf numFmtId="0" fontId="16" fillId="0" borderId="0" xfId="0" applyFont="1"/>
    <xf numFmtId="0" fontId="16" fillId="0" borderId="5" xfId="0" applyFont="1" applyBorder="1"/>
    <xf numFmtId="0" fontId="17" fillId="0" borderId="0" xfId="0" applyFont="1" applyAlignment="1">
      <alignment horizontal="left" vertical="top" wrapText="1"/>
    </xf>
    <xf numFmtId="0" fontId="16" fillId="0" borderId="0" xfId="0" applyFont="1" applyAlignment="1">
      <alignment horizontal="right"/>
    </xf>
    <xf numFmtId="0" fontId="14" fillId="0" borderId="0" xfId="0" applyFont="1" applyAlignment="1">
      <alignment horizontal="center"/>
    </xf>
    <xf numFmtId="0" fontId="8" fillId="0" borderId="0" xfId="0" applyFont="1" applyAlignment="1">
      <alignment horizontal="center"/>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5" fillId="0" borderId="4" xfId="0" applyFont="1" applyFill="1" applyBorder="1" applyAlignment="1">
      <alignment horizontal="left" vertical="center" wrapText="1"/>
    </xf>
    <xf numFmtId="9" fontId="9" fillId="0" borderId="4"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xf>
    <xf numFmtId="165" fontId="9" fillId="0" borderId="4"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xf>
    <xf numFmtId="164" fontId="9" fillId="0" borderId="4" xfId="1" applyNumberFormat="1" applyFont="1" applyFill="1" applyBorder="1" applyAlignment="1">
      <alignment horizontal="left" vertical="center"/>
    </xf>
    <xf numFmtId="9" fontId="11" fillId="0" borderId="4" xfId="0" applyNumberFormat="1" applyFont="1" applyFill="1" applyBorder="1" applyAlignment="1">
      <alignment horizontal="center" vertical="center" wrapText="1"/>
    </xf>
    <xf numFmtId="9" fontId="9" fillId="0" borderId="4" xfId="0" applyNumberFormat="1" applyFont="1" applyFill="1" applyBorder="1" applyAlignment="1" applyProtection="1">
      <alignment horizontal="center" vertical="center" wrapText="1"/>
      <protection locked="0"/>
    </xf>
    <xf numFmtId="9" fontId="11" fillId="0" borderId="4" xfId="0" applyNumberFormat="1" applyFont="1" applyFill="1" applyBorder="1" applyAlignment="1" applyProtection="1">
      <alignment horizontal="center" vertical="center" wrapText="1"/>
      <protection locked="0"/>
    </xf>
    <xf numFmtId="9" fontId="9" fillId="0" borderId="4" xfId="0" applyNumberFormat="1" applyFont="1" applyFill="1" applyBorder="1" applyAlignment="1" applyProtection="1">
      <alignment horizontal="center" vertical="center"/>
      <protection locked="0"/>
    </xf>
    <xf numFmtId="9" fontId="12" fillId="0" borderId="0" xfId="2" applyFont="1" applyFill="1" applyBorder="1" applyAlignment="1">
      <alignment horizontal="center" vertical="center"/>
    </xf>
    <xf numFmtId="0" fontId="12" fillId="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9" fillId="0" borderId="0" xfId="1" applyNumberFormat="1" applyFont="1" applyFill="1" applyBorder="1" applyAlignment="1">
      <alignment horizontal="left" vertical="center"/>
    </xf>
    <xf numFmtId="165" fontId="9"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wrapText="1"/>
    </xf>
    <xf numFmtId="0" fontId="3" fillId="0" borderId="0" xfId="0" applyFont="1" applyFill="1" applyBorder="1"/>
    <xf numFmtId="165" fontId="11" fillId="0" borderId="4" xfId="2" applyNumberFormat="1" applyFont="1" applyFill="1" applyBorder="1" applyAlignment="1">
      <alignment horizontal="center" vertical="center"/>
    </xf>
    <xf numFmtId="9" fontId="19" fillId="0" borderId="4" xfId="0" applyNumberFormat="1" applyFont="1" applyFill="1" applyBorder="1" applyAlignment="1">
      <alignment horizontal="center" vertical="center" wrapText="1"/>
    </xf>
    <xf numFmtId="165" fontId="11" fillId="0" borderId="4" xfId="2" applyNumberFormat="1" applyFont="1" applyFill="1" applyBorder="1" applyAlignment="1">
      <alignment horizontal="center" vertical="center"/>
    </xf>
    <xf numFmtId="9" fontId="11" fillId="0" borderId="4" xfId="0" applyNumberFormat="1" applyFont="1" applyFill="1" applyBorder="1" applyAlignment="1">
      <alignment horizontal="center" vertical="center" wrapText="1"/>
    </xf>
    <xf numFmtId="165" fontId="11" fillId="0" borderId="4" xfId="2"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8" fillId="0" borderId="4"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165" fontId="11" fillId="0" borderId="0" xfId="2" applyNumberFormat="1" applyFont="1" applyFill="1" applyBorder="1" applyAlignment="1">
      <alignment horizontal="center" vertical="center"/>
    </xf>
    <xf numFmtId="9" fontId="19" fillId="0" borderId="0"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4" fillId="0" borderId="0" xfId="0" applyFont="1"/>
    <xf numFmtId="0" fontId="23" fillId="4" borderId="4" xfId="0" applyFont="1" applyFill="1" applyBorder="1" applyAlignment="1">
      <alignment horizontal="center" vertical="center" wrapText="1"/>
    </xf>
    <xf numFmtId="44" fontId="23" fillId="4" borderId="8" xfId="3" applyFont="1" applyFill="1" applyBorder="1" applyAlignment="1">
      <alignment horizontal="center" vertical="center" wrapText="1"/>
    </xf>
    <xf numFmtId="44" fontId="23" fillId="4" borderId="4" xfId="3" applyFont="1" applyFill="1" applyBorder="1" applyAlignment="1">
      <alignment horizontal="center" vertical="center" wrapText="1"/>
    </xf>
    <xf numFmtId="0" fontId="24" fillId="0" borderId="4" xfId="0" applyFont="1" applyBorder="1"/>
    <xf numFmtId="44" fontId="24" fillId="0" borderId="4" xfId="3" applyFont="1" applyFill="1" applyBorder="1"/>
    <xf numFmtId="44" fontId="24" fillId="0" borderId="4" xfId="0" applyNumberFormat="1" applyFont="1" applyBorder="1"/>
    <xf numFmtId="167" fontId="24" fillId="0" borderId="4" xfId="0" applyNumberFormat="1" applyFont="1" applyBorder="1"/>
    <xf numFmtId="9" fontId="24" fillId="0" borderId="4" xfId="0" applyNumberFormat="1" applyFont="1" applyBorder="1"/>
    <xf numFmtId="43" fontId="24" fillId="0" borderId="0" xfId="0" applyNumberFormat="1" applyFont="1"/>
    <xf numFmtId="44" fontId="24" fillId="0" borderId="0" xfId="0" applyNumberFormat="1" applyFont="1"/>
    <xf numFmtId="166" fontId="24" fillId="0" borderId="0" xfId="0" applyNumberFormat="1" applyFont="1"/>
    <xf numFmtId="166" fontId="24" fillId="0" borderId="4" xfId="0" applyNumberFormat="1" applyFont="1" applyBorder="1"/>
    <xf numFmtId="0" fontId="24" fillId="0" borderId="4" xfId="0" applyFont="1" applyBorder="1" applyAlignment="1">
      <alignment horizontal="center" vertical="center" wrapText="1"/>
    </xf>
    <xf numFmtId="0" fontId="24" fillId="0" borderId="4" xfId="0" applyFont="1" applyBorder="1" applyAlignment="1">
      <alignment wrapText="1"/>
    </xf>
    <xf numFmtId="166" fontId="24" fillId="0" borderId="4" xfId="0" applyNumberFormat="1" applyFont="1" applyBorder="1" applyAlignment="1">
      <alignment wrapText="1"/>
    </xf>
    <xf numFmtId="0" fontId="24" fillId="3" borderId="4" xfId="0" applyFont="1" applyFill="1" applyBorder="1"/>
    <xf numFmtId="0" fontId="24" fillId="0" borderId="0" xfId="0" applyFont="1" applyBorder="1"/>
    <xf numFmtId="44" fontId="24" fillId="0" borderId="0" xfId="0" applyNumberFormat="1" applyFont="1" applyBorder="1"/>
    <xf numFmtId="44" fontId="24" fillId="0" borderId="0" xfId="3" applyFont="1" applyFill="1" applyBorder="1"/>
    <xf numFmtId="0" fontId="24" fillId="0" borderId="4" xfId="0" applyFont="1" applyFill="1" applyBorder="1"/>
    <xf numFmtId="44" fontId="22" fillId="2" borderId="0" xfId="3" applyFont="1" applyFill="1" applyBorder="1" applyAlignment="1">
      <alignment horizontal="center"/>
    </xf>
    <xf numFmtId="0" fontId="24" fillId="0" borderId="7" xfId="0" applyFont="1" applyBorder="1" applyAlignment="1">
      <alignment horizontal="left" wrapText="1"/>
    </xf>
    <xf numFmtId="166" fontId="24" fillId="6" borderId="4" xfId="0" applyNumberFormat="1" applyFont="1" applyFill="1" applyBorder="1"/>
    <xf numFmtId="0" fontId="24" fillId="0" borderId="4" xfId="0" applyFont="1" applyFill="1" applyBorder="1" applyAlignment="1">
      <alignment wrapText="1"/>
    </xf>
    <xf numFmtId="44" fontId="22" fillId="0" borderId="16" xfId="3" applyFont="1" applyFill="1" applyBorder="1" applyAlignment="1"/>
    <xf numFmtId="0" fontId="24" fillId="0" borderId="4" xfId="0" applyFont="1" applyBorder="1" applyAlignment="1">
      <alignment horizontal="center"/>
    </xf>
    <xf numFmtId="165" fontId="11" fillId="0" borderId="4" xfId="2" applyNumberFormat="1" applyFont="1" applyFill="1" applyBorder="1" applyAlignment="1">
      <alignment horizontal="center" vertical="center" wrapText="1"/>
    </xf>
    <xf numFmtId="165" fontId="9" fillId="0" borderId="4" xfId="2" applyNumberFormat="1" applyFont="1" applyFill="1" applyBorder="1" applyAlignment="1">
      <alignment horizontal="center" vertical="center" wrapText="1"/>
    </xf>
    <xf numFmtId="0" fontId="16" fillId="0" borderId="0" xfId="0" applyFont="1" applyBorder="1"/>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1" fontId="12" fillId="0" borderId="4" xfId="2"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5" xfId="0" applyFont="1" applyFill="1" applyBorder="1" applyAlignment="1">
      <alignment horizontal="center" vertical="center" wrapText="1"/>
    </xf>
    <xf numFmtId="164" fontId="11" fillId="0" borderId="9"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164" fontId="11" fillId="0" borderId="12"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164" fontId="11" fillId="0" borderId="14" xfId="0" applyNumberFormat="1" applyFont="1" applyFill="1" applyBorder="1" applyAlignment="1">
      <alignment horizontal="center" vertical="center" wrapText="1"/>
    </xf>
    <xf numFmtId="164" fontId="11" fillId="0" borderId="15" xfId="0" applyNumberFormat="1" applyFont="1" applyFill="1" applyBorder="1" applyAlignment="1">
      <alignment horizontal="center" vertical="center" wrapText="1"/>
    </xf>
    <xf numFmtId="9" fontId="11" fillId="0" borderId="6" xfId="0" applyNumberFormat="1" applyFont="1" applyFill="1" applyBorder="1" applyAlignment="1" applyProtection="1">
      <alignment horizontal="center" vertical="center" wrapText="1"/>
      <protection locked="0"/>
    </xf>
    <xf numFmtId="9" fontId="11" fillId="0" borderId="8" xfId="0" applyNumberFormat="1" applyFont="1" applyFill="1" applyBorder="1" applyAlignment="1" applyProtection="1">
      <alignment horizontal="center" vertical="center" wrapText="1"/>
      <protection locked="0"/>
    </xf>
    <xf numFmtId="9" fontId="11" fillId="0" borderId="7" xfId="0" applyNumberFormat="1" applyFont="1" applyFill="1" applyBorder="1" applyAlignment="1" applyProtection="1">
      <alignment horizontal="center" vertical="center" wrapText="1"/>
      <protection locked="0"/>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6" fillId="0" borderId="6" xfId="6" applyFont="1" applyFill="1" applyBorder="1" applyAlignment="1">
      <alignment horizontal="center" vertical="center" wrapText="1"/>
    </xf>
    <xf numFmtId="0" fontId="26" fillId="0" borderId="8" xfId="6" applyFont="1" applyFill="1" applyBorder="1" applyAlignment="1">
      <alignment horizontal="center" vertical="center" wrapText="1"/>
    </xf>
    <xf numFmtId="0" fontId="26" fillId="0" borderId="7" xfId="6"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8" fillId="0" borderId="4" xfId="0" applyFont="1" applyBorder="1" applyAlignment="1">
      <alignment horizontal="center" vertical="center" wrapText="1"/>
    </xf>
    <xf numFmtId="9" fontId="11" fillId="0" borderId="9" xfId="0" applyNumberFormat="1" applyFont="1" applyFill="1" applyBorder="1" applyAlignment="1" applyProtection="1">
      <alignment horizontal="center" vertical="center" wrapText="1"/>
      <protection locked="0"/>
    </xf>
    <xf numFmtId="9" fontId="11" fillId="0" borderId="10" xfId="0" applyNumberFormat="1" applyFont="1" applyFill="1" applyBorder="1" applyAlignment="1" applyProtection="1">
      <alignment horizontal="center" vertical="center" wrapText="1"/>
      <protection locked="0"/>
    </xf>
    <xf numFmtId="9" fontId="11" fillId="0" borderId="11" xfId="0" applyNumberFormat="1" applyFont="1" applyFill="1" applyBorder="1" applyAlignment="1" applyProtection="1">
      <alignment horizontal="center" vertical="center" wrapText="1"/>
      <protection locked="0"/>
    </xf>
    <xf numFmtId="9" fontId="11" fillId="0" borderId="12" xfId="0" applyNumberFormat="1" applyFont="1" applyFill="1" applyBorder="1" applyAlignment="1" applyProtection="1">
      <alignment horizontal="center" vertical="center" wrapText="1"/>
      <protection locked="0"/>
    </xf>
    <xf numFmtId="9" fontId="11" fillId="0" borderId="0" xfId="0" applyNumberFormat="1" applyFont="1" applyFill="1" applyBorder="1" applyAlignment="1" applyProtection="1">
      <alignment horizontal="center" vertical="center" wrapText="1"/>
      <protection locked="0"/>
    </xf>
    <xf numFmtId="9" fontId="11" fillId="0" borderId="13" xfId="0" applyNumberFormat="1" applyFont="1" applyFill="1" applyBorder="1" applyAlignment="1" applyProtection="1">
      <alignment horizontal="center" vertical="center" wrapText="1"/>
      <protection locked="0"/>
    </xf>
    <xf numFmtId="9" fontId="11" fillId="0" borderId="14" xfId="0" applyNumberFormat="1" applyFont="1" applyFill="1" applyBorder="1" applyAlignment="1" applyProtection="1">
      <alignment horizontal="center" vertical="center" wrapText="1"/>
      <protection locked="0"/>
    </xf>
    <xf numFmtId="9" fontId="11" fillId="0" borderId="5" xfId="0" applyNumberFormat="1" applyFont="1" applyFill="1" applyBorder="1" applyAlignment="1" applyProtection="1">
      <alignment horizontal="center" vertical="center" wrapText="1"/>
      <protection locked="0"/>
    </xf>
    <xf numFmtId="9" fontId="11" fillId="0" borderId="15" xfId="0" applyNumberFormat="1" applyFont="1" applyFill="1" applyBorder="1" applyAlignment="1" applyProtection="1">
      <alignment horizontal="center" vertical="center" wrapText="1"/>
      <protection locked="0"/>
    </xf>
    <xf numFmtId="9" fontId="11" fillId="0" borderId="9"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9" fontId="11" fillId="0" borderId="11" xfId="0" applyNumberFormat="1" applyFont="1" applyFill="1" applyBorder="1" applyAlignment="1">
      <alignment horizontal="center" vertical="center" wrapText="1"/>
    </xf>
    <xf numFmtId="9" fontId="11" fillId="0" borderId="12" xfId="0" applyNumberFormat="1"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9" fontId="11" fillId="0" borderId="14" xfId="0" applyNumberFormat="1" applyFont="1" applyFill="1" applyBorder="1" applyAlignment="1">
      <alignment horizontal="center" vertical="center" wrapText="1"/>
    </xf>
    <xf numFmtId="9" fontId="11" fillId="0" borderId="5" xfId="0" applyNumberFormat="1"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7" xfId="2" applyFont="1" applyFill="1" applyBorder="1" applyAlignment="1">
      <alignment horizontal="center" vertical="center" wrapText="1"/>
    </xf>
    <xf numFmtId="9" fontId="12" fillId="0" borderId="9" xfId="0" applyNumberFormat="1" applyFont="1" applyFill="1" applyBorder="1" applyAlignment="1" applyProtection="1">
      <alignment horizontal="center" vertical="center" wrapText="1"/>
      <protection locked="0"/>
    </xf>
    <xf numFmtId="17" fontId="16" fillId="0" borderId="5" xfId="0" applyNumberFormat="1" applyFont="1" applyBorder="1" applyAlignment="1">
      <alignment horizontal="center"/>
    </xf>
    <xf numFmtId="9" fontId="12" fillId="0" borderId="4" xfId="2" applyNumberFormat="1" applyFont="1" applyFill="1" applyBorder="1" applyAlignment="1">
      <alignment horizontal="center" vertical="center" wrapText="1"/>
    </xf>
    <xf numFmtId="44" fontId="22" fillId="2" borderId="16" xfId="3" applyFont="1" applyFill="1" applyBorder="1" applyAlignment="1">
      <alignment horizontal="center"/>
    </xf>
    <xf numFmtId="44" fontId="22" fillId="2" borderId="17" xfId="3" applyFont="1" applyFill="1" applyBorder="1" applyAlignment="1">
      <alignment horizontal="center"/>
    </xf>
    <xf numFmtId="44" fontId="22" fillId="2" borderId="18" xfId="3" applyFont="1" applyFill="1" applyBorder="1" applyAlignment="1">
      <alignment horizontal="center"/>
    </xf>
    <xf numFmtId="0" fontId="24" fillId="0" borderId="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3" fillId="0" borderId="0" xfId="0" applyFont="1" applyAlignment="1">
      <alignment horizontal="center" vertical="center" wrapText="1"/>
    </xf>
    <xf numFmtId="44" fontId="22" fillId="2" borderId="4" xfId="3" applyFont="1" applyFill="1" applyBorder="1" applyAlignment="1">
      <alignment horizontal="center"/>
    </xf>
    <xf numFmtId="0" fontId="12" fillId="0" borderId="6"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6" xfId="0" quotePrefix="1" applyFont="1" applyFill="1" applyBorder="1" applyAlignment="1">
      <alignment horizontal="left" vertical="center" wrapText="1"/>
    </xf>
  </cellXfs>
  <cellStyles count="7">
    <cellStyle name="Hipervínculo" xfId="6" builtinId="8"/>
    <cellStyle name="Millares" xfId="1" builtinId="3"/>
    <cellStyle name="Millares 2" xfId="4" xr:uid="{D3F318F5-6727-403F-9AE9-3B0A0F014C9A}"/>
    <cellStyle name="Millares 3" xfId="5" xr:uid="{635A69D2-EE70-4FAE-AF3C-29848B2A6C1C}"/>
    <cellStyle name="Moneda 2" xfId="3" xr:uid="{874698C0-D65D-48A8-A47A-D935FD438C19}"/>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858817</xdr:colOff>
      <xdr:row>0</xdr:row>
      <xdr:rowOff>1065892</xdr:rowOff>
    </xdr:to>
    <xdr:pic>
      <xdr:nvPicPr>
        <xdr:cNvPr id="2" name="Imagen 1" descr="HEADER 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495" t="38055" r="31059"/>
        <a:stretch>
          <a:fillRect/>
        </a:stretch>
      </xdr:blipFill>
      <xdr:spPr bwMode="auto">
        <a:xfrm>
          <a:off x="0" y="0"/>
          <a:ext cx="3965781" cy="1065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858817</xdr:colOff>
      <xdr:row>0</xdr:row>
      <xdr:rowOff>1065892</xdr:rowOff>
    </xdr:to>
    <xdr:pic>
      <xdr:nvPicPr>
        <xdr:cNvPr id="2" name="Imagen 1" descr="HEADER 001">
          <a:extLst>
            <a:ext uri="{FF2B5EF4-FFF2-40B4-BE49-F238E27FC236}">
              <a16:creationId xmlns:a16="http://schemas.microsoft.com/office/drawing/2014/main" id="{24517D06-70E8-4627-95D8-6D87D680C9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495" t="38055" r="31059"/>
        <a:stretch>
          <a:fillRect/>
        </a:stretch>
      </xdr:blipFill>
      <xdr:spPr bwMode="auto">
        <a:xfrm>
          <a:off x="0" y="0"/>
          <a:ext cx="3973492" cy="1065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4"/>
  <sheetViews>
    <sheetView tabSelected="1" zoomScale="70" zoomScaleNormal="70" zoomScaleSheetLayoutView="70" workbookViewId="0">
      <selection activeCell="J12" sqref="J12"/>
    </sheetView>
  </sheetViews>
  <sheetFormatPr baseColWidth="10" defaultColWidth="11.42578125" defaultRowHeight="15" x14ac:dyDescent="0.25"/>
  <cols>
    <col min="1" max="1" width="5.7109375" style="2" customWidth="1"/>
    <col min="2" max="2" width="21.5703125" style="3" customWidth="1"/>
    <col min="3" max="3" width="24.7109375" style="4" customWidth="1"/>
    <col min="4" max="4" width="38" style="5" customWidth="1"/>
    <col min="5" max="5" width="35.140625" style="5" hidden="1" customWidth="1"/>
    <col min="6" max="6" width="16.42578125" style="5" customWidth="1"/>
    <col min="7" max="7" width="16.7109375" style="5" customWidth="1"/>
    <col min="8" max="8" width="19.42578125" style="3" customWidth="1"/>
    <col min="9" max="9" width="20.7109375" style="6" customWidth="1"/>
    <col min="10" max="11" width="22" style="7" customWidth="1"/>
    <col min="12" max="13" width="22" style="9" customWidth="1"/>
    <col min="14" max="14" width="126.42578125" style="9" customWidth="1"/>
    <col min="15" max="15" width="52.42578125" style="9" customWidth="1"/>
    <col min="16" max="16" width="30.140625" style="9" customWidth="1"/>
    <col min="17" max="17" width="30.7109375" style="5" customWidth="1"/>
    <col min="18" max="18" width="13.42578125" style="1" bestFit="1" customWidth="1"/>
    <col min="19" max="16384" width="11.42578125" style="1"/>
  </cols>
  <sheetData>
    <row r="1" spans="1:17" ht="108" customHeight="1" thickBot="1" x14ac:dyDescent="0.3">
      <c r="A1" s="146" t="s">
        <v>204</v>
      </c>
      <c r="B1" s="147"/>
      <c r="C1" s="147"/>
      <c r="D1" s="147"/>
      <c r="E1" s="147"/>
      <c r="F1" s="147"/>
      <c r="G1" s="147"/>
      <c r="H1" s="147"/>
      <c r="I1" s="147"/>
      <c r="J1" s="147"/>
      <c r="K1" s="147"/>
      <c r="L1" s="147"/>
      <c r="M1" s="147"/>
      <c r="N1" s="147"/>
      <c r="O1" s="147"/>
      <c r="P1" s="147"/>
      <c r="Q1" s="148"/>
    </row>
    <row r="2" spans="1:17" ht="9" customHeight="1" x14ac:dyDescent="0.25">
      <c r="A2" s="16"/>
      <c r="B2" s="17"/>
      <c r="C2" s="18"/>
      <c r="D2" s="19"/>
      <c r="E2" s="19"/>
      <c r="F2" s="19"/>
      <c r="G2" s="19"/>
      <c r="H2" s="17"/>
      <c r="I2" s="20"/>
      <c r="J2" s="21"/>
      <c r="K2" s="21"/>
      <c r="L2" s="21"/>
      <c r="M2" s="21"/>
      <c r="N2" s="21"/>
      <c r="O2" s="21"/>
      <c r="P2" s="21"/>
      <c r="Q2" s="19"/>
    </row>
    <row r="3" spans="1:17" s="2" customFormat="1" ht="33" customHeight="1" x14ac:dyDescent="0.25">
      <c r="A3" s="149" t="s">
        <v>0</v>
      </c>
      <c r="B3" s="149" t="s">
        <v>1</v>
      </c>
      <c r="C3" s="149" t="s">
        <v>2</v>
      </c>
      <c r="D3" s="149" t="s">
        <v>17</v>
      </c>
      <c r="E3" s="97" t="s">
        <v>140</v>
      </c>
      <c r="F3" s="149" t="s">
        <v>18</v>
      </c>
      <c r="G3" s="149" t="s">
        <v>45</v>
      </c>
      <c r="H3" s="149" t="s">
        <v>3</v>
      </c>
      <c r="I3" s="149"/>
      <c r="J3" s="149"/>
      <c r="K3" s="149"/>
      <c r="L3" s="149"/>
      <c r="M3" s="149"/>
      <c r="N3" s="11" t="s">
        <v>19</v>
      </c>
      <c r="O3" s="11" t="s">
        <v>19</v>
      </c>
      <c r="P3" s="11" t="s">
        <v>19</v>
      </c>
      <c r="Q3" s="11" t="s">
        <v>19</v>
      </c>
    </row>
    <row r="4" spans="1:17" s="2" customFormat="1" ht="31.5" customHeight="1" x14ac:dyDescent="0.25">
      <c r="A4" s="149"/>
      <c r="B4" s="149"/>
      <c r="C4" s="149"/>
      <c r="D4" s="149"/>
      <c r="E4" s="99"/>
      <c r="F4" s="149"/>
      <c r="G4" s="149"/>
      <c r="H4" s="150">
        <v>2023</v>
      </c>
      <c r="I4" s="149"/>
      <c r="J4" s="11" t="s">
        <v>4</v>
      </c>
      <c r="K4" s="11" t="s">
        <v>5</v>
      </c>
      <c r="L4" s="34" t="s">
        <v>6</v>
      </c>
      <c r="M4" s="34" t="s">
        <v>7</v>
      </c>
      <c r="N4" s="11" t="s">
        <v>4</v>
      </c>
      <c r="O4" s="11" t="s">
        <v>5</v>
      </c>
      <c r="P4" s="34" t="s">
        <v>6</v>
      </c>
      <c r="Q4" s="34" t="s">
        <v>7</v>
      </c>
    </row>
    <row r="5" spans="1:17" s="8" customFormat="1" ht="29.25" hidden="1" customHeight="1" thickBot="1" x14ac:dyDescent="0.3">
      <c r="A5" s="11"/>
      <c r="B5" s="12"/>
      <c r="C5" s="13"/>
      <c r="D5" s="11"/>
      <c r="E5" s="60"/>
      <c r="F5" s="12"/>
      <c r="G5" s="12"/>
      <c r="H5" s="12"/>
      <c r="I5" s="12"/>
      <c r="J5" s="10"/>
      <c r="K5" s="10"/>
      <c r="L5" s="14"/>
      <c r="M5" s="14"/>
      <c r="N5" s="14"/>
      <c r="O5" s="14"/>
      <c r="P5" s="14"/>
      <c r="Q5" s="11"/>
    </row>
    <row r="6" spans="1:17" ht="25.5" customHeight="1" x14ac:dyDescent="0.25">
      <c r="A6" s="144" t="s">
        <v>23</v>
      </c>
      <c r="B6" s="144"/>
      <c r="C6" s="144"/>
      <c r="D6" s="144"/>
      <c r="E6" s="144"/>
      <c r="F6" s="144"/>
      <c r="G6" s="144"/>
      <c r="H6" s="144"/>
      <c r="I6" s="144"/>
      <c r="J6" s="144"/>
      <c r="K6" s="144"/>
      <c r="L6" s="144"/>
      <c r="M6" s="144"/>
      <c r="N6" s="144"/>
      <c r="O6" s="144"/>
      <c r="P6" s="144"/>
      <c r="Q6" s="144"/>
    </row>
    <row r="7" spans="1:17" ht="36.75" customHeight="1" x14ac:dyDescent="0.25">
      <c r="A7" s="145">
        <v>1</v>
      </c>
      <c r="B7" s="145" t="s">
        <v>24</v>
      </c>
      <c r="C7" s="132" t="s">
        <v>44</v>
      </c>
      <c r="D7" s="132" t="s">
        <v>181</v>
      </c>
      <c r="E7" s="132" t="s">
        <v>141</v>
      </c>
      <c r="F7" s="101">
        <v>1</v>
      </c>
      <c r="G7" s="101">
        <v>0.64</v>
      </c>
      <c r="H7" s="36" t="s">
        <v>8</v>
      </c>
      <c r="I7" s="43">
        <v>1</v>
      </c>
      <c r="J7" s="44">
        <v>0.25</v>
      </c>
      <c r="K7" s="44">
        <v>0.5</v>
      </c>
      <c r="L7" s="44">
        <v>0.75</v>
      </c>
      <c r="M7" s="44">
        <v>1</v>
      </c>
      <c r="N7" s="189" t="s">
        <v>166</v>
      </c>
      <c r="O7" s="102" t="s">
        <v>20</v>
      </c>
      <c r="P7" s="123" t="s">
        <v>20</v>
      </c>
      <c r="Q7" s="123" t="s">
        <v>20</v>
      </c>
    </row>
    <row r="8" spans="1:17" ht="36.75" customHeight="1" x14ac:dyDescent="0.25">
      <c r="A8" s="145"/>
      <c r="B8" s="145"/>
      <c r="C8" s="133"/>
      <c r="D8" s="133"/>
      <c r="E8" s="133"/>
      <c r="F8" s="101"/>
      <c r="G8" s="101"/>
      <c r="H8" s="36" t="s">
        <v>9</v>
      </c>
      <c r="I8" s="45">
        <f>SUM(J8:M8)</f>
        <v>0.25</v>
      </c>
      <c r="J8" s="56">
        <v>0.25</v>
      </c>
      <c r="K8" s="54" t="s">
        <v>38</v>
      </c>
      <c r="L8" s="54" t="s">
        <v>38</v>
      </c>
      <c r="M8" s="54" t="s">
        <v>38</v>
      </c>
      <c r="N8" s="190"/>
      <c r="O8" s="103"/>
      <c r="P8" s="124"/>
      <c r="Q8" s="124"/>
    </row>
    <row r="9" spans="1:17" ht="36" customHeight="1" x14ac:dyDescent="0.25">
      <c r="A9" s="145"/>
      <c r="B9" s="145"/>
      <c r="C9" s="133"/>
      <c r="D9" s="133"/>
      <c r="E9" s="133"/>
      <c r="F9" s="114" t="s">
        <v>10</v>
      </c>
      <c r="G9" s="115"/>
      <c r="H9" s="36" t="s">
        <v>153</v>
      </c>
      <c r="I9" s="39">
        <f>SUM(J9:M9)</f>
        <v>119380000</v>
      </c>
      <c r="J9" s="53">
        <v>15571178</v>
      </c>
      <c r="K9" s="53">
        <v>31142355</v>
      </c>
      <c r="L9" s="57">
        <v>31142355</v>
      </c>
      <c r="M9" s="53">
        <v>41524112</v>
      </c>
      <c r="N9" s="190"/>
      <c r="O9" s="103"/>
      <c r="P9" s="124"/>
      <c r="Q9" s="124"/>
    </row>
    <row r="10" spans="1:17" ht="36.75" customHeight="1" x14ac:dyDescent="0.25">
      <c r="A10" s="145"/>
      <c r="B10" s="145"/>
      <c r="C10" s="133"/>
      <c r="D10" s="133"/>
      <c r="E10" s="133"/>
      <c r="F10" s="116"/>
      <c r="G10" s="117"/>
      <c r="H10" s="36" t="s">
        <v>154</v>
      </c>
      <c r="I10" s="39">
        <f>SUM(J10:M10)</f>
        <v>99662140</v>
      </c>
      <c r="J10" s="57">
        <v>4498340</v>
      </c>
      <c r="K10" s="57">
        <f>9516380*3</f>
        <v>28549140</v>
      </c>
      <c r="L10" s="57">
        <f>K10</f>
        <v>28549140</v>
      </c>
      <c r="M10" s="57">
        <f>(9516380*2)+19032760</f>
        <v>38065520</v>
      </c>
      <c r="N10" s="190"/>
      <c r="O10" s="103"/>
      <c r="P10" s="124"/>
      <c r="Q10" s="124"/>
    </row>
    <row r="11" spans="1:17" ht="36" x14ac:dyDescent="0.25">
      <c r="A11" s="145"/>
      <c r="B11" s="145"/>
      <c r="C11" s="133"/>
      <c r="D11" s="133"/>
      <c r="E11" s="133"/>
      <c r="F11" s="116"/>
      <c r="G11" s="117"/>
      <c r="H11" s="36" t="s">
        <v>155</v>
      </c>
      <c r="I11" s="40">
        <f>SUM(J11:M11)</f>
        <v>99662140</v>
      </c>
      <c r="J11" s="57">
        <f>95163800+4498340</f>
        <v>99662140</v>
      </c>
      <c r="K11" s="54" t="s">
        <v>39</v>
      </c>
      <c r="L11" s="54" t="s">
        <v>39</v>
      </c>
      <c r="M11" s="54" t="s">
        <v>39</v>
      </c>
      <c r="N11" s="190"/>
      <c r="O11" s="103"/>
      <c r="P11" s="124"/>
      <c r="Q11" s="124"/>
    </row>
    <row r="12" spans="1:17" ht="36" x14ac:dyDescent="0.25">
      <c r="A12" s="145"/>
      <c r="B12" s="145"/>
      <c r="C12" s="134"/>
      <c r="D12" s="134"/>
      <c r="E12" s="134"/>
      <c r="F12" s="118"/>
      <c r="G12" s="119"/>
      <c r="H12" s="41" t="s">
        <v>11</v>
      </c>
      <c r="I12" s="40">
        <f>SUM(J12:M12)</f>
        <v>4498348</v>
      </c>
      <c r="J12" s="57">
        <v>4498348</v>
      </c>
      <c r="K12" s="94">
        <v>0</v>
      </c>
      <c r="L12" s="54" t="s">
        <v>40</v>
      </c>
      <c r="M12" s="54" t="s">
        <v>40</v>
      </c>
      <c r="N12" s="191"/>
      <c r="O12" s="104"/>
      <c r="P12" s="125"/>
      <c r="Q12" s="125"/>
    </row>
    <row r="13" spans="1:17" s="4" customFormat="1" ht="36.75" customHeight="1" x14ac:dyDescent="0.2">
      <c r="A13" s="145"/>
      <c r="B13" s="145"/>
      <c r="C13" s="132" t="s">
        <v>44</v>
      </c>
      <c r="D13" s="132" t="s">
        <v>21</v>
      </c>
      <c r="E13" s="141" t="s">
        <v>142</v>
      </c>
      <c r="F13" s="101">
        <v>1</v>
      </c>
      <c r="G13" s="101">
        <v>0.64</v>
      </c>
      <c r="H13" s="36" t="s">
        <v>8</v>
      </c>
      <c r="I13" s="37">
        <v>1</v>
      </c>
      <c r="J13" s="42">
        <v>0.25</v>
      </c>
      <c r="K13" s="42">
        <v>0.5</v>
      </c>
      <c r="L13" s="42">
        <v>0.75</v>
      </c>
      <c r="M13" s="42">
        <v>1</v>
      </c>
      <c r="N13" s="189" t="s">
        <v>198</v>
      </c>
      <c r="O13" s="123" t="s">
        <v>20</v>
      </c>
      <c r="P13" s="123" t="s">
        <v>20</v>
      </c>
      <c r="Q13" s="123" t="s">
        <v>20</v>
      </c>
    </row>
    <row r="14" spans="1:17" s="4" customFormat="1" ht="36.75" customHeight="1" x14ac:dyDescent="0.2">
      <c r="A14" s="145"/>
      <c r="B14" s="145"/>
      <c r="C14" s="133"/>
      <c r="D14" s="133"/>
      <c r="E14" s="142"/>
      <c r="F14" s="101"/>
      <c r="G14" s="101"/>
      <c r="H14" s="36" t="s">
        <v>9</v>
      </c>
      <c r="I14" s="38">
        <f>SUM(J14:M14)</f>
        <v>0.25</v>
      </c>
      <c r="J14" s="56">
        <v>0.25</v>
      </c>
      <c r="K14" s="54" t="s">
        <v>38</v>
      </c>
      <c r="L14" s="54" t="s">
        <v>38</v>
      </c>
      <c r="M14" s="54" t="s">
        <v>38</v>
      </c>
      <c r="N14" s="190"/>
      <c r="O14" s="124"/>
      <c r="P14" s="124"/>
      <c r="Q14" s="124"/>
    </row>
    <row r="15" spans="1:17" ht="36.75" customHeight="1" x14ac:dyDescent="0.25">
      <c r="A15" s="145"/>
      <c r="B15" s="145"/>
      <c r="C15" s="133"/>
      <c r="D15" s="133"/>
      <c r="E15" s="142"/>
      <c r="F15" s="114" t="s">
        <v>10</v>
      </c>
      <c r="G15" s="115"/>
      <c r="H15" s="36" t="s">
        <v>153</v>
      </c>
      <c r="I15" s="39">
        <f>SUM(J15:M15)</f>
        <v>636237000</v>
      </c>
      <c r="J15" s="53">
        <v>50715696</v>
      </c>
      <c r="K15" s="53">
        <v>175513766</v>
      </c>
      <c r="L15" s="53">
        <v>176457474</v>
      </c>
      <c r="M15" s="53">
        <v>233550064</v>
      </c>
      <c r="N15" s="190"/>
      <c r="O15" s="124"/>
      <c r="P15" s="124"/>
      <c r="Q15" s="124"/>
    </row>
    <row r="16" spans="1:17" ht="36.75" customHeight="1" x14ac:dyDescent="0.25">
      <c r="A16" s="145"/>
      <c r="B16" s="145"/>
      <c r="C16" s="133"/>
      <c r="D16" s="133"/>
      <c r="E16" s="142"/>
      <c r="F16" s="116"/>
      <c r="G16" s="117"/>
      <c r="H16" s="36" t="s">
        <v>154</v>
      </c>
      <c r="I16" s="39">
        <f>SUM(J16:M16)</f>
        <v>618975755</v>
      </c>
      <c r="J16" s="57">
        <f>26489107+45711667-J10-J28</f>
        <v>50715696</v>
      </c>
      <c r="K16" s="57">
        <f>78716322+79660030+79660030-K10-K28</f>
        <v>175513766</v>
      </c>
      <c r="L16" s="57">
        <f>(79660030*3)-L10-L28</f>
        <v>176457474</v>
      </c>
      <c r="M16" s="57">
        <f>(79660030*2)+140332247-M10-M28</f>
        <v>216288819</v>
      </c>
      <c r="N16" s="190"/>
      <c r="O16" s="124"/>
      <c r="P16" s="124"/>
      <c r="Q16" s="124"/>
    </row>
    <row r="17" spans="1:17" ht="36.75" customHeight="1" x14ac:dyDescent="0.25">
      <c r="A17" s="145"/>
      <c r="B17" s="145"/>
      <c r="C17" s="133"/>
      <c r="D17" s="133"/>
      <c r="E17" s="142"/>
      <c r="F17" s="116"/>
      <c r="G17" s="117"/>
      <c r="H17" s="36" t="s">
        <v>155</v>
      </c>
      <c r="I17" s="40">
        <f>SUM(J17:M17)</f>
        <v>618975755</v>
      </c>
      <c r="J17" s="57">
        <v>618975755</v>
      </c>
      <c r="K17" s="54" t="s">
        <v>39</v>
      </c>
      <c r="L17" s="54" t="s">
        <v>39</v>
      </c>
      <c r="M17" s="54" t="s">
        <v>39</v>
      </c>
      <c r="N17" s="190"/>
      <c r="O17" s="124"/>
      <c r="P17" s="124"/>
      <c r="Q17" s="124"/>
    </row>
    <row r="18" spans="1:17" ht="36.75" customHeight="1" x14ac:dyDescent="0.25">
      <c r="A18" s="145"/>
      <c r="B18" s="145"/>
      <c r="C18" s="134"/>
      <c r="D18" s="134"/>
      <c r="E18" s="143"/>
      <c r="F18" s="118"/>
      <c r="G18" s="119"/>
      <c r="H18" s="41" t="s">
        <v>11</v>
      </c>
      <c r="I18" s="40">
        <f>SUM(J18:M18)</f>
        <v>54376332</v>
      </c>
      <c r="J18" s="57">
        <v>54376332</v>
      </c>
      <c r="K18" s="54" t="s">
        <v>40</v>
      </c>
      <c r="L18" s="54" t="s">
        <v>40</v>
      </c>
      <c r="M18" s="54" t="s">
        <v>40</v>
      </c>
      <c r="N18" s="191"/>
      <c r="O18" s="125"/>
      <c r="P18" s="125"/>
      <c r="Q18" s="125"/>
    </row>
    <row r="19" spans="1:17" s="4" customFormat="1" ht="36.75" customHeight="1" x14ac:dyDescent="0.2">
      <c r="A19" s="145"/>
      <c r="B19" s="145"/>
      <c r="C19" s="132" t="s">
        <v>44</v>
      </c>
      <c r="D19" s="132" t="s">
        <v>132</v>
      </c>
      <c r="E19" s="141" t="s">
        <v>143</v>
      </c>
      <c r="F19" s="101">
        <v>1</v>
      </c>
      <c r="G19" s="101">
        <v>0.64</v>
      </c>
      <c r="H19" s="36" t="s">
        <v>8</v>
      </c>
      <c r="I19" s="37">
        <v>1</v>
      </c>
      <c r="J19" s="56">
        <v>1</v>
      </c>
      <c r="K19" s="160" t="s">
        <v>165</v>
      </c>
      <c r="L19" s="161"/>
      <c r="M19" s="162"/>
      <c r="N19" s="189" t="s">
        <v>189</v>
      </c>
      <c r="O19" s="126" t="s">
        <v>165</v>
      </c>
      <c r="P19" s="169"/>
      <c r="Q19" s="127"/>
    </row>
    <row r="20" spans="1:17" s="4" customFormat="1" ht="36.75" customHeight="1" x14ac:dyDescent="0.2">
      <c r="A20" s="145"/>
      <c r="B20" s="145"/>
      <c r="C20" s="133"/>
      <c r="D20" s="133"/>
      <c r="E20" s="142"/>
      <c r="F20" s="101"/>
      <c r="G20" s="101"/>
      <c r="H20" s="36" t="s">
        <v>9</v>
      </c>
      <c r="I20" s="38">
        <f>SUM(J20:M20)</f>
        <v>1</v>
      </c>
      <c r="J20" s="56">
        <v>1</v>
      </c>
      <c r="K20" s="163"/>
      <c r="L20" s="164"/>
      <c r="M20" s="165"/>
      <c r="N20" s="190"/>
      <c r="O20" s="128"/>
      <c r="P20" s="170"/>
      <c r="Q20" s="129"/>
    </row>
    <row r="21" spans="1:17" ht="36.75" customHeight="1" x14ac:dyDescent="0.25">
      <c r="A21" s="145"/>
      <c r="B21" s="145"/>
      <c r="C21" s="133"/>
      <c r="D21" s="133"/>
      <c r="E21" s="142"/>
      <c r="F21" s="114" t="s">
        <v>10</v>
      </c>
      <c r="G21" s="115"/>
      <c r="H21" s="36" t="s">
        <v>153</v>
      </c>
      <c r="I21" s="39">
        <f>SUM(J21:M21)</f>
        <v>0</v>
      </c>
      <c r="J21" s="94">
        <v>0</v>
      </c>
      <c r="K21" s="163"/>
      <c r="L21" s="164"/>
      <c r="M21" s="165"/>
      <c r="N21" s="190"/>
      <c r="O21" s="128"/>
      <c r="P21" s="170"/>
      <c r="Q21" s="129"/>
    </row>
    <row r="22" spans="1:17" ht="36.75" customHeight="1" x14ac:dyDescent="0.25">
      <c r="A22" s="145"/>
      <c r="B22" s="145"/>
      <c r="C22" s="133"/>
      <c r="D22" s="133"/>
      <c r="E22" s="142"/>
      <c r="F22" s="116"/>
      <c r="G22" s="117"/>
      <c r="H22" s="36" t="s">
        <v>154</v>
      </c>
      <c r="I22" s="39">
        <v>0</v>
      </c>
      <c r="J22" s="57">
        <v>0</v>
      </c>
      <c r="K22" s="163"/>
      <c r="L22" s="164"/>
      <c r="M22" s="165"/>
      <c r="N22" s="190"/>
      <c r="O22" s="128"/>
      <c r="P22" s="170"/>
      <c r="Q22" s="129"/>
    </row>
    <row r="23" spans="1:17" ht="36.75" customHeight="1" x14ac:dyDescent="0.25">
      <c r="A23" s="145"/>
      <c r="B23" s="145"/>
      <c r="C23" s="133"/>
      <c r="D23" s="133"/>
      <c r="E23" s="142"/>
      <c r="F23" s="116"/>
      <c r="G23" s="117"/>
      <c r="H23" s="36" t="s">
        <v>155</v>
      </c>
      <c r="I23" s="40">
        <f>SUM(J23:M23)</f>
        <v>0</v>
      </c>
      <c r="J23" s="94">
        <v>0</v>
      </c>
      <c r="K23" s="163"/>
      <c r="L23" s="164"/>
      <c r="M23" s="165"/>
      <c r="N23" s="190"/>
      <c r="O23" s="128"/>
      <c r="P23" s="170"/>
      <c r="Q23" s="129"/>
    </row>
    <row r="24" spans="1:17" ht="36.75" customHeight="1" x14ac:dyDescent="0.25">
      <c r="A24" s="145"/>
      <c r="B24" s="145"/>
      <c r="C24" s="134"/>
      <c r="D24" s="134"/>
      <c r="E24" s="143"/>
      <c r="F24" s="118"/>
      <c r="G24" s="119"/>
      <c r="H24" s="41" t="s">
        <v>11</v>
      </c>
      <c r="I24" s="40">
        <f>SUM(J24:M24)</f>
        <v>39863058</v>
      </c>
      <c r="J24" s="94">
        <v>39863058</v>
      </c>
      <c r="K24" s="166"/>
      <c r="L24" s="167"/>
      <c r="M24" s="168"/>
      <c r="N24" s="191"/>
      <c r="O24" s="130"/>
      <c r="P24" s="171"/>
      <c r="Q24" s="131"/>
    </row>
    <row r="25" spans="1:17" s="4" customFormat="1" ht="36.75" customHeight="1" x14ac:dyDescent="0.2">
      <c r="A25" s="145"/>
      <c r="B25" s="145"/>
      <c r="C25" s="132" t="s">
        <v>44</v>
      </c>
      <c r="D25" s="132" t="s">
        <v>131</v>
      </c>
      <c r="E25" s="132" t="s">
        <v>159</v>
      </c>
      <c r="F25" s="101">
        <v>1</v>
      </c>
      <c r="G25" s="101">
        <v>0.64</v>
      </c>
      <c r="H25" s="36" t="s">
        <v>8</v>
      </c>
      <c r="I25" s="37">
        <v>1</v>
      </c>
      <c r="J25" s="42">
        <v>0.25</v>
      </c>
      <c r="K25" s="42">
        <v>0.5</v>
      </c>
      <c r="L25" s="42">
        <v>0.75</v>
      </c>
      <c r="M25" s="42">
        <v>1</v>
      </c>
      <c r="N25" s="189" t="s">
        <v>190</v>
      </c>
      <c r="O25" s="123" t="s">
        <v>20</v>
      </c>
      <c r="P25" s="123" t="s">
        <v>20</v>
      </c>
      <c r="Q25" s="123" t="s">
        <v>20</v>
      </c>
    </row>
    <row r="26" spans="1:17" s="4" customFormat="1" ht="36.75" customHeight="1" x14ac:dyDescent="0.2">
      <c r="A26" s="145"/>
      <c r="B26" s="145"/>
      <c r="C26" s="133"/>
      <c r="D26" s="133"/>
      <c r="E26" s="133"/>
      <c r="F26" s="101"/>
      <c r="G26" s="101"/>
      <c r="H26" s="36" t="s">
        <v>9</v>
      </c>
      <c r="I26" s="38">
        <f>SUM(J26:M26)</f>
        <v>0.25</v>
      </c>
      <c r="J26" s="56">
        <v>0.25</v>
      </c>
      <c r="K26" s="54" t="s">
        <v>38</v>
      </c>
      <c r="L26" s="54" t="s">
        <v>38</v>
      </c>
      <c r="M26" s="54" t="s">
        <v>38</v>
      </c>
      <c r="N26" s="190"/>
      <c r="O26" s="124"/>
      <c r="P26" s="124"/>
      <c r="Q26" s="124"/>
    </row>
    <row r="27" spans="1:17" ht="36.75" customHeight="1" x14ac:dyDescent="0.25">
      <c r="A27" s="145"/>
      <c r="B27" s="145"/>
      <c r="C27" s="133"/>
      <c r="D27" s="133"/>
      <c r="E27" s="133"/>
      <c r="F27" s="114" t="s">
        <v>10</v>
      </c>
      <c r="G27" s="115"/>
      <c r="H27" s="36" t="s">
        <v>153</v>
      </c>
      <c r="I27" s="39">
        <f>SUM(J27:M27)</f>
        <v>130232000</v>
      </c>
      <c r="J27" s="53">
        <v>16986738</v>
      </c>
      <c r="K27" s="53">
        <v>33973476</v>
      </c>
      <c r="L27" s="57">
        <v>33973476</v>
      </c>
      <c r="M27" s="53">
        <v>45298310</v>
      </c>
      <c r="N27" s="190"/>
      <c r="O27" s="124"/>
      <c r="P27" s="124"/>
      <c r="Q27" s="124"/>
    </row>
    <row r="28" spans="1:17" ht="36.75" customHeight="1" x14ac:dyDescent="0.25">
      <c r="A28" s="145"/>
      <c r="B28" s="145"/>
      <c r="C28" s="133"/>
      <c r="D28" s="133"/>
      <c r="E28" s="133"/>
      <c r="F28" s="116"/>
      <c r="G28" s="117"/>
      <c r="H28" s="36" t="s">
        <v>154</v>
      </c>
      <c r="I28" s="39">
        <f>SUM(J28:M28)</f>
        <v>130231658</v>
      </c>
      <c r="J28" s="57">
        <f>5662246+11324492</f>
        <v>16986738</v>
      </c>
      <c r="K28" s="57">
        <f>11324492*3</f>
        <v>33973476</v>
      </c>
      <c r="L28" s="57">
        <f>K28</f>
        <v>33973476</v>
      </c>
      <c r="M28" s="57">
        <f>(11324492*2)+22648984</f>
        <v>45297968</v>
      </c>
      <c r="N28" s="190"/>
      <c r="O28" s="124"/>
      <c r="P28" s="124"/>
      <c r="Q28" s="124"/>
    </row>
    <row r="29" spans="1:17" ht="36.75" customHeight="1" x14ac:dyDescent="0.25">
      <c r="A29" s="145"/>
      <c r="B29" s="145"/>
      <c r="C29" s="133"/>
      <c r="D29" s="133"/>
      <c r="E29" s="133"/>
      <c r="F29" s="116"/>
      <c r="G29" s="117"/>
      <c r="H29" s="36" t="s">
        <v>155</v>
      </c>
      <c r="I29" s="40">
        <f>SUM(J29:M29)</f>
        <v>130231658</v>
      </c>
      <c r="J29" s="57">
        <v>130231658</v>
      </c>
      <c r="K29" s="54" t="s">
        <v>39</v>
      </c>
      <c r="L29" s="54" t="s">
        <v>39</v>
      </c>
      <c r="M29" s="54" t="s">
        <v>39</v>
      </c>
      <c r="N29" s="190"/>
      <c r="O29" s="124"/>
      <c r="P29" s="124"/>
      <c r="Q29" s="124"/>
    </row>
    <row r="30" spans="1:17" ht="36.75" customHeight="1" x14ac:dyDescent="0.25">
      <c r="A30" s="145"/>
      <c r="B30" s="145"/>
      <c r="C30" s="134"/>
      <c r="D30" s="134"/>
      <c r="E30" s="134"/>
      <c r="F30" s="118"/>
      <c r="G30" s="119"/>
      <c r="H30" s="41" t="s">
        <v>11</v>
      </c>
      <c r="I30" s="40">
        <f>SUM(J30:M30)</f>
        <v>18874153</v>
      </c>
      <c r="J30" s="57">
        <v>18874153</v>
      </c>
      <c r="K30" s="54" t="s">
        <v>40</v>
      </c>
      <c r="L30" s="54" t="s">
        <v>40</v>
      </c>
      <c r="M30" s="54" t="s">
        <v>40</v>
      </c>
      <c r="N30" s="191"/>
      <c r="O30" s="125"/>
      <c r="P30" s="125"/>
      <c r="Q30" s="125"/>
    </row>
    <row r="31" spans="1:17" ht="18" customHeight="1" x14ac:dyDescent="0.25">
      <c r="A31" s="62"/>
      <c r="B31" s="62"/>
      <c r="C31" s="62"/>
      <c r="D31" s="58"/>
      <c r="E31" s="61"/>
      <c r="F31" s="48"/>
      <c r="G31" s="48"/>
      <c r="H31" s="49"/>
      <c r="I31" s="50"/>
      <c r="J31" s="63"/>
      <c r="K31" s="64"/>
      <c r="L31" s="64"/>
      <c r="M31" s="64"/>
      <c r="N31" s="59"/>
      <c r="O31" s="59"/>
      <c r="P31" s="59"/>
      <c r="Q31" s="59"/>
    </row>
    <row r="32" spans="1:17" ht="25.5" customHeight="1" x14ac:dyDescent="0.25">
      <c r="A32" s="144" t="s">
        <v>46</v>
      </c>
      <c r="B32" s="144"/>
      <c r="C32" s="144"/>
      <c r="D32" s="144"/>
      <c r="E32" s="144"/>
      <c r="F32" s="144"/>
      <c r="G32" s="144"/>
      <c r="H32" s="144"/>
      <c r="I32" s="144"/>
      <c r="J32" s="144"/>
      <c r="K32" s="144"/>
      <c r="L32" s="144"/>
      <c r="M32" s="144"/>
      <c r="N32" s="144"/>
      <c r="O32" s="144"/>
      <c r="P32" s="144"/>
      <c r="Q32" s="144"/>
    </row>
    <row r="33" spans="1:17" ht="36.75" customHeight="1" x14ac:dyDescent="0.25">
      <c r="A33" s="145">
        <v>2</v>
      </c>
      <c r="B33" s="145" t="s">
        <v>24</v>
      </c>
      <c r="C33" s="132" t="s">
        <v>44</v>
      </c>
      <c r="D33" s="132" t="s">
        <v>133</v>
      </c>
      <c r="E33" s="132" t="s">
        <v>158</v>
      </c>
      <c r="F33" s="101">
        <v>1</v>
      </c>
      <c r="G33" s="101">
        <v>0.64</v>
      </c>
      <c r="H33" s="36" t="s">
        <v>8</v>
      </c>
      <c r="I33" s="43">
        <v>1</v>
      </c>
      <c r="J33" s="44">
        <v>1</v>
      </c>
      <c r="K33" s="151" t="s">
        <v>165</v>
      </c>
      <c r="L33" s="152"/>
      <c r="M33" s="153"/>
      <c r="N33" s="189" t="s">
        <v>191</v>
      </c>
      <c r="O33" s="105"/>
      <c r="P33" s="106"/>
      <c r="Q33" s="107"/>
    </row>
    <row r="34" spans="1:17" ht="36.75" customHeight="1" x14ac:dyDescent="0.25">
      <c r="A34" s="145"/>
      <c r="B34" s="145"/>
      <c r="C34" s="133"/>
      <c r="D34" s="133"/>
      <c r="E34" s="133"/>
      <c r="F34" s="101"/>
      <c r="G34" s="101"/>
      <c r="H34" s="36" t="s">
        <v>9</v>
      </c>
      <c r="I34" s="45">
        <f>SUM(J34:M34)</f>
        <v>1</v>
      </c>
      <c r="J34" s="44">
        <v>1</v>
      </c>
      <c r="K34" s="154"/>
      <c r="L34" s="155"/>
      <c r="M34" s="156"/>
      <c r="N34" s="190"/>
      <c r="O34" s="108"/>
      <c r="P34" s="109"/>
      <c r="Q34" s="110"/>
    </row>
    <row r="35" spans="1:17" ht="36.75" customHeight="1" x14ac:dyDescent="0.25">
      <c r="A35" s="145"/>
      <c r="B35" s="145"/>
      <c r="C35" s="133"/>
      <c r="D35" s="133"/>
      <c r="E35" s="133"/>
      <c r="F35" s="114" t="s">
        <v>10</v>
      </c>
      <c r="G35" s="115"/>
      <c r="H35" s="36" t="s">
        <v>153</v>
      </c>
      <c r="I35" s="95">
        <v>0</v>
      </c>
      <c r="J35" s="94">
        <v>0</v>
      </c>
      <c r="K35" s="154"/>
      <c r="L35" s="155"/>
      <c r="M35" s="156"/>
      <c r="N35" s="190"/>
      <c r="O35" s="108"/>
      <c r="P35" s="109"/>
      <c r="Q35" s="110"/>
    </row>
    <row r="36" spans="1:17" ht="36.75" customHeight="1" x14ac:dyDescent="0.25">
      <c r="A36" s="145"/>
      <c r="B36" s="145"/>
      <c r="C36" s="133"/>
      <c r="D36" s="133"/>
      <c r="E36" s="133"/>
      <c r="F36" s="116"/>
      <c r="G36" s="117"/>
      <c r="H36" s="36" t="s">
        <v>154</v>
      </c>
      <c r="I36" s="39">
        <v>0</v>
      </c>
      <c r="J36" s="57">
        <v>0</v>
      </c>
      <c r="K36" s="154"/>
      <c r="L36" s="155"/>
      <c r="M36" s="156"/>
      <c r="N36" s="190"/>
      <c r="O36" s="108"/>
      <c r="P36" s="109"/>
      <c r="Q36" s="110"/>
    </row>
    <row r="37" spans="1:17" ht="36.75" customHeight="1" x14ac:dyDescent="0.25">
      <c r="A37" s="145"/>
      <c r="B37" s="145"/>
      <c r="C37" s="133"/>
      <c r="D37" s="133"/>
      <c r="E37" s="133"/>
      <c r="F37" s="116"/>
      <c r="G37" s="117"/>
      <c r="H37" s="36" t="s">
        <v>155</v>
      </c>
      <c r="I37" s="95">
        <v>0</v>
      </c>
      <c r="J37" s="94">
        <v>0</v>
      </c>
      <c r="K37" s="154"/>
      <c r="L37" s="155"/>
      <c r="M37" s="156"/>
      <c r="N37" s="190"/>
      <c r="O37" s="108"/>
      <c r="P37" s="109"/>
      <c r="Q37" s="110"/>
    </row>
    <row r="38" spans="1:17" ht="36.75" customHeight="1" x14ac:dyDescent="0.25">
      <c r="A38" s="145"/>
      <c r="B38" s="145"/>
      <c r="C38" s="134"/>
      <c r="D38" s="134"/>
      <c r="E38" s="134"/>
      <c r="F38" s="118"/>
      <c r="G38" s="119"/>
      <c r="H38" s="41" t="s">
        <v>11</v>
      </c>
      <c r="I38" s="40">
        <f>SUM(J38:M38)</f>
        <v>185852000</v>
      </c>
      <c r="J38" s="94">
        <v>185852000</v>
      </c>
      <c r="K38" s="157"/>
      <c r="L38" s="158"/>
      <c r="M38" s="159"/>
      <c r="N38" s="191"/>
      <c r="O38" s="111"/>
      <c r="P38" s="112"/>
      <c r="Q38" s="113"/>
    </row>
    <row r="39" spans="1:17" ht="36.75" customHeight="1" x14ac:dyDescent="0.25">
      <c r="A39" s="145"/>
      <c r="B39" s="145"/>
      <c r="C39" s="132" t="s">
        <v>44</v>
      </c>
      <c r="D39" s="132" t="s">
        <v>134</v>
      </c>
      <c r="E39" s="97" t="s">
        <v>144</v>
      </c>
      <c r="F39" s="101">
        <v>1</v>
      </c>
      <c r="G39" s="101">
        <v>0.64</v>
      </c>
      <c r="H39" s="36" t="s">
        <v>8</v>
      </c>
      <c r="I39" s="43">
        <v>1</v>
      </c>
      <c r="J39" s="44">
        <v>0.5</v>
      </c>
      <c r="K39" s="44">
        <v>1</v>
      </c>
      <c r="L39" s="151"/>
      <c r="M39" s="153"/>
      <c r="N39" s="189" t="s">
        <v>192</v>
      </c>
      <c r="O39" s="123" t="s">
        <v>20</v>
      </c>
      <c r="P39" s="126"/>
      <c r="Q39" s="127"/>
    </row>
    <row r="40" spans="1:17" ht="36.75" customHeight="1" x14ac:dyDescent="0.25">
      <c r="A40" s="145"/>
      <c r="B40" s="145"/>
      <c r="C40" s="133"/>
      <c r="D40" s="133"/>
      <c r="E40" s="98"/>
      <c r="F40" s="101"/>
      <c r="G40" s="101"/>
      <c r="H40" s="36" t="s">
        <v>9</v>
      </c>
      <c r="I40" s="45">
        <f>SUM(J40:M40)</f>
        <v>0.5</v>
      </c>
      <c r="J40" s="44">
        <v>0.5</v>
      </c>
      <c r="K40" s="54" t="s">
        <v>38</v>
      </c>
      <c r="L40" s="154"/>
      <c r="M40" s="156"/>
      <c r="N40" s="190"/>
      <c r="O40" s="124"/>
      <c r="P40" s="128"/>
      <c r="Q40" s="129"/>
    </row>
    <row r="41" spans="1:17" ht="36.75" customHeight="1" x14ac:dyDescent="0.25">
      <c r="A41" s="145"/>
      <c r="B41" s="145"/>
      <c r="C41" s="133"/>
      <c r="D41" s="133"/>
      <c r="E41" s="98"/>
      <c r="F41" s="114" t="s">
        <v>10</v>
      </c>
      <c r="G41" s="115"/>
      <c r="H41" s="36" t="s">
        <v>153</v>
      </c>
      <c r="I41" s="39">
        <f>SUM(J41:M41)</f>
        <v>0</v>
      </c>
      <c r="J41" s="57">
        <v>0</v>
      </c>
      <c r="K41" s="57">
        <v>0</v>
      </c>
      <c r="L41" s="154"/>
      <c r="M41" s="156"/>
      <c r="N41" s="190"/>
      <c r="O41" s="124"/>
      <c r="P41" s="128"/>
      <c r="Q41" s="129"/>
    </row>
    <row r="42" spans="1:17" ht="36.75" customHeight="1" x14ac:dyDescent="0.25">
      <c r="A42" s="145"/>
      <c r="B42" s="145"/>
      <c r="C42" s="133"/>
      <c r="D42" s="133"/>
      <c r="E42" s="98"/>
      <c r="F42" s="116"/>
      <c r="G42" s="117"/>
      <c r="H42" s="36" t="s">
        <v>154</v>
      </c>
      <c r="I42" s="39">
        <v>0</v>
      </c>
      <c r="J42" s="57">
        <v>0</v>
      </c>
      <c r="K42" s="57">
        <v>0</v>
      </c>
      <c r="L42" s="154"/>
      <c r="M42" s="156"/>
      <c r="N42" s="190"/>
      <c r="O42" s="124"/>
      <c r="P42" s="128"/>
      <c r="Q42" s="129"/>
    </row>
    <row r="43" spans="1:17" ht="36.75" customHeight="1" x14ac:dyDescent="0.25">
      <c r="A43" s="145"/>
      <c r="B43" s="145"/>
      <c r="C43" s="133"/>
      <c r="D43" s="133"/>
      <c r="E43" s="98"/>
      <c r="F43" s="116"/>
      <c r="G43" s="117"/>
      <c r="H43" s="36" t="s">
        <v>155</v>
      </c>
      <c r="I43" s="40">
        <f>SUM(J43:M43)</f>
        <v>0</v>
      </c>
      <c r="J43" s="57">
        <v>0</v>
      </c>
      <c r="K43" s="54">
        <v>0</v>
      </c>
      <c r="L43" s="154"/>
      <c r="M43" s="156"/>
      <c r="N43" s="190"/>
      <c r="O43" s="124"/>
      <c r="P43" s="128"/>
      <c r="Q43" s="129"/>
    </row>
    <row r="44" spans="1:17" ht="36.75" customHeight="1" x14ac:dyDescent="0.25">
      <c r="A44" s="145"/>
      <c r="B44" s="145"/>
      <c r="C44" s="134"/>
      <c r="D44" s="134"/>
      <c r="E44" s="99"/>
      <c r="F44" s="118"/>
      <c r="G44" s="119"/>
      <c r="H44" s="41" t="s">
        <v>11</v>
      </c>
      <c r="I44" s="40">
        <f>SUM(J44:M44)</f>
        <v>31142352</v>
      </c>
      <c r="J44" s="57">
        <f>8996709+1384075+8843650+1537134+10380784</f>
        <v>31142352</v>
      </c>
      <c r="K44" s="54">
        <v>0</v>
      </c>
      <c r="L44" s="157"/>
      <c r="M44" s="159"/>
      <c r="N44" s="191"/>
      <c r="O44" s="125"/>
      <c r="P44" s="130"/>
      <c r="Q44" s="131"/>
    </row>
    <row r="45" spans="1:17" ht="36.75" customHeight="1" x14ac:dyDescent="0.25">
      <c r="A45" s="145"/>
      <c r="B45" s="145"/>
      <c r="C45" s="132" t="s">
        <v>44</v>
      </c>
      <c r="D45" s="132" t="s">
        <v>157</v>
      </c>
      <c r="E45" s="97" t="s">
        <v>144</v>
      </c>
      <c r="F45" s="101">
        <v>1</v>
      </c>
      <c r="G45" s="101">
        <v>0.64</v>
      </c>
      <c r="H45" s="36" t="s">
        <v>8</v>
      </c>
      <c r="I45" s="43">
        <v>1</v>
      </c>
      <c r="J45" s="44">
        <v>0</v>
      </c>
      <c r="K45" s="44">
        <v>1</v>
      </c>
      <c r="L45" s="151"/>
      <c r="M45" s="153"/>
      <c r="N45" s="189" t="s">
        <v>193</v>
      </c>
      <c r="O45" s="123" t="s">
        <v>20</v>
      </c>
      <c r="P45" s="126"/>
      <c r="Q45" s="127"/>
    </row>
    <row r="46" spans="1:17" ht="36.75" customHeight="1" x14ac:dyDescent="0.25">
      <c r="A46" s="145"/>
      <c r="B46" s="145"/>
      <c r="C46" s="133"/>
      <c r="D46" s="133"/>
      <c r="E46" s="98"/>
      <c r="F46" s="101"/>
      <c r="G46" s="101"/>
      <c r="H46" s="36" t="s">
        <v>9</v>
      </c>
      <c r="I46" s="45">
        <f>SUM(J46:M46)</f>
        <v>0.5</v>
      </c>
      <c r="J46" s="44">
        <v>0.5</v>
      </c>
      <c r="K46" s="54" t="s">
        <v>38</v>
      </c>
      <c r="L46" s="154"/>
      <c r="M46" s="156"/>
      <c r="N46" s="190"/>
      <c r="O46" s="124"/>
      <c r="P46" s="128"/>
      <c r="Q46" s="129"/>
    </row>
    <row r="47" spans="1:17" ht="36.75" customHeight="1" x14ac:dyDescent="0.25">
      <c r="A47" s="145"/>
      <c r="B47" s="145"/>
      <c r="C47" s="133"/>
      <c r="D47" s="133"/>
      <c r="E47" s="98"/>
      <c r="F47" s="114" t="s">
        <v>10</v>
      </c>
      <c r="G47" s="115"/>
      <c r="H47" s="36" t="s">
        <v>153</v>
      </c>
      <c r="I47" s="39">
        <f>SUM(J47:M47)</f>
        <v>50000000</v>
      </c>
      <c r="J47" s="57">
        <v>0</v>
      </c>
      <c r="K47" s="57">
        <v>50000000</v>
      </c>
      <c r="L47" s="154"/>
      <c r="M47" s="156"/>
      <c r="N47" s="190"/>
      <c r="O47" s="124"/>
      <c r="P47" s="128"/>
      <c r="Q47" s="129"/>
    </row>
    <row r="48" spans="1:17" ht="36.75" customHeight="1" x14ac:dyDescent="0.25">
      <c r="A48" s="145"/>
      <c r="B48" s="145"/>
      <c r="C48" s="133"/>
      <c r="D48" s="133"/>
      <c r="E48" s="98"/>
      <c r="F48" s="116"/>
      <c r="G48" s="117"/>
      <c r="H48" s="36" t="s">
        <v>154</v>
      </c>
      <c r="I48" s="39">
        <f>SUM(J48:K48)</f>
        <v>41000000</v>
      </c>
      <c r="J48" s="57">
        <v>41000000</v>
      </c>
      <c r="K48" s="54" t="s">
        <v>156</v>
      </c>
      <c r="L48" s="154"/>
      <c r="M48" s="156"/>
      <c r="N48" s="190"/>
      <c r="O48" s="124"/>
      <c r="P48" s="128"/>
      <c r="Q48" s="129"/>
    </row>
    <row r="49" spans="1:17" ht="36.75" customHeight="1" x14ac:dyDescent="0.25">
      <c r="A49" s="145"/>
      <c r="B49" s="145"/>
      <c r="C49" s="133"/>
      <c r="D49" s="133"/>
      <c r="E49" s="98"/>
      <c r="F49" s="116"/>
      <c r="G49" s="117"/>
      <c r="H49" s="36" t="s">
        <v>155</v>
      </c>
      <c r="I49" s="40">
        <f>SUM(J49:M49)</f>
        <v>41000000</v>
      </c>
      <c r="J49" s="57">
        <v>41000000</v>
      </c>
      <c r="K49" s="54" t="s">
        <v>39</v>
      </c>
      <c r="L49" s="154"/>
      <c r="M49" s="156"/>
      <c r="N49" s="190"/>
      <c r="O49" s="124"/>
      <c r="P49" s="128"/>
      <c r="Q49" s="129"/>
    </row>
    <row r="50" spans="1:17" ht="36.75" customHeight="1" x14ac:dyDescent="0.25">
      <c r="A50" s="145"/>
      <c r="B50" s="145"/>
      <c r="C50" s="134"/>
      <c r="D50" s="134"/>
      <c r="E50" s="99"/>
      <c r="F50" s="118"/>
      <c r="G50" s="119"/>
      <c r="H50" s="41" t="s">
        <v>11</v>
      </c>
      <c r="I50" s="40">
        <f>SUM(J50:M50)</f>
        <v>0</v>
      </c>
      <c r="J50" s="57">
        <v>0</v>
      </c>
      <c r="K50" s="54" t="s">
        <v>40</v>
      </c>
      <c r="L50" s="157"/>
      <c r="M50" s="159"/>
      <c r="N50" s="191"/>
      <c r="O50" s="125"/>
      <c r="P50" s="130"/>
      <c r="Q50" s="131"/>
    </row>
    <row r="51" spans="1:17" ht="36.75" customHeight="1" x14ac:dyDescent="0.25">
      <c r="A51" s="145"/>
      <c r="B51" s="145"/>
      <c r="C51" s="132" t="s">
        <v>44</v>
      </c>
      <c r="D51" s="132" t="s">
        <v>48</v>
      </c>
      <c r="E51" s="97" t="s">
        <v>144</v>
      </c>
      <c r="F51" s="101">
        <v>1</v>
      </c>
      <c r="G51" s="101">
        <v>0.64</v>
      </c>
      <c r="H51" s="36" t="s">
        <v>8</v>
      </c>
      <c r="I51" s="43">
        <v>1</v>
      </c>
      <c r="J51" s="44">
        <v>0</v>
      </c>
      <c r="K51" s="44">
        <v>1</v>
      </c>
      <c r="L51" s="151"/>
      <c r="M51" s="153"/>
      <c r="N51" s="189" t="s">
        <v>194</v>
      </c>
      <c r="O51" s="123" t="s">
        <v>20</v>
      </c>
      <c r="P51" s="126"/>
      <c r="Q51" s="127"/>
    </row>
    <row r="52" spans="1:17" ht="36.75" customHeight="1" x14ac:dyDescent="0.25">
      <c r="A52" s="145"/>
      <c r="B52" s="145"/>
      <c r="C52" s="133"/>
      <c r="D52" s="133"/>
      <c r="E52" s="98"/>
      <c r="F52" s="101"/>
      <c r="G52" s="101"/>
      <c r="H52" s="36" t="s">
        <v>9</v>
      </c>
      <c r="I52" s="45">
        <f>SUM(J52:M52)</f>
        <v>0.5</v>
      </c>
      <c r="J52" s="44">
        <v>0.5</v>
      </c>
      <c r="K52" s="54" t="s">
        <v>38</v>
      </c>
      <c r="L52" s="154"/>
      <c r="M52" s="156"/>
      <c r="N52" s="190"/>
      <c r="O52" s="124"/>
      <c r="P52" s="128"/>
      <c r="Q52" s="129"/>
    </row>
    <row r="53" spans="1:17" ht="36.75" customHeight="1" x14ac:dyDescent="0.25">
      <c r="A53" s="145"/>
      <c r="B53" s="145"/>
      <c r="C53" s="133"/>
      <c r="D53" s="133"/>
      <c r="E53" s="98"/>
      <c r="F53" s="114" t="s">
        <v>10</v>
      </c>
      <c r="G53" s="115"/>
      <c r="H53" s="36" t="s">
        <v>153</v>
      </c>
      <c r="I53" s="39">
        <f>SUM(J53:M53)</f>
        <v>120000000</v>
      </c>
      <c r="J53" s="57">
        <v>0</v>
      </c>
      <c r="K53" s="57">
        <v>120000000</v>
      </c>
      <c r="L53" s="154"/>
      <c r="M53" s="156"/>
      <c r="N53" s="190"/>
      <c r="O53" s="124"/>
      <c r="P53" s="128"/>
      <c r="Q53" s="129"/>
    </row>
    <row r="54" spans="1:17" ht="36.75" customHeight="1" x14ac:dyDescent="0.25">
      <c r="A54" s="145"/>
      <c r="B54" s="145"/>
      <c r="C54" s="133"/>
      <c r="D54" s="133"/>
      <c r="E54" s="98"/>
      <c r="F54" s="116"/>
      <c r="G54" s="117"/>
      <c r="H54" s="36" t="s">
        <v>154</v>
      </c>
      <c r="I54" s="39">
        <v>60198000</v>
      </c>
      <c r="J54" s="57">
        <v>60198000</v>
      </c>
      <c r="K54" s="54" t="s">
        <v>156</v>
      </c>
      <c r="L54" s="154"/>
      <c r="M54" s="156"/>
      <c r="N54" s="190"/>
      <c r="O54" s="124"/>
      <c r="P54" s="128"/>
      <c r="Q54" s="129"/>
    </row>
    <row r="55" spans="1:17" ht="36.75" customHeight="1" x14ac:dyDescent="0.25">
      <c r="A55" s="145"/>
      <c r="B55" s="145"/>
      <c r="C55" s="133"/>
      <c r="D55" s="133"/>
      <c r="E55" s="98"/>
      <c r="F55" s="116"/>
      <c r="G55" s="117"/>
      <c r="H55" s="36" t="s">
        <v>155</v>
      </c>
      <c r="I55" s="40">
        <f>SUM(J55:M55)</f>
        <v>60198000</v>
      </c>
      <c r="J55" s="57">
        <v>60198000</v>
      </c>
      <c r="K55" s="54" t="s">
        <v>39</v>
      </c>
      <c r="L55" s="154"/>
      <c r="M55" s="156"/>
      <c r="N55" s="190"/>
      <c r="O55" s="124"/>
      <c r="P55" s="128"/>
      <c r="Q55" s="129"/>
    </row>
    <row r="56" spans="1:17" ht="36.75" customHeight="1" x14ac:dyDescent="0.25">
      <c r="A56" s="145"/>
      <c r="B56" s="145"/>
      <c r="C56" s="134"/>
      <c r="D56" s="134"/>
      <c r="E56" s="99"/>
      <c r="F56" s="118"/>
      <c r="G56" s="119"/>
      <c r="H56" s="41" t="s">
        <v>11</v>
      </c>
      <c r="I56" s="40">
        <f>SUM(J56:M56)</f>
        <v>0</v>
      </c>
      <c r="J56" s="57">
        <v>0</v>
      </c>
      <c r="K56" s="54" t="s">
        <v>40</v>
      </c>
      <c r="L56" s="157"/>
      <c r="M56" s="159"/>
      <c r="N56" s="191"/>
      <c r="O56" s="125"/>
      <c r="P56" s="130"/>
      <c r="Q56" s="131"/>
    </row>
    <row r="57" spans="1:17" ht="36.75" customHeight="1" x14ac:dyDescent="0.25">
      <c r="A57" s="145"/>
      <c r="B57" s="145"/>
      <c r="C57" s="132" t="s">
        <v>44</v>
      </c>
      <c r="D57" s="132" t="s">
        <v>135</v>
      </c>
      <c r="E57" s="97" t="s">
        <v>144</v>
      </c>
      <c r="F57" s="101">
        <v>1</v>
      </c>
      <c r="G57" s="101">
        <v>0.64</v>
      </c>
      <c r="H57" s="36" t="s">
        <v>8</v>
      </c>
      <c r="I57" s="43">
        <v>1</v>
      </c>
      <c r="J57" s="44">
        <v>0.5</v>
      </c>
      <c r="K57" s="44">
        <v>1</v>
      </c>
      <c r="L57" s="151"/>
      <c r="M57" s="153"/>
      <c r="N57" s="189" t="s">
        <v>195</v>
      </c>
      <c r="O57" s="123" t="s">
        <v>20</v>
      </c>
      <c r="P57" s="126"/>
      <c r="Q57" s="127"/>
    </row>
    <row r="58" spans="1:17" ht="36.75" customHeight="1" x14ac:dyDescent="0.25">
      <c r="A58" s="145"/>
      <c r="B58" s="145"/>
      <c r="C58" s="133"/>
      <c r="D58" s="133"/>
      <c r="E58" s="98"/>
      <c r="F58" s="101"/>
      <c r="G58" s="101"/>
      <c r="H58" s="36" t="s">
        <v>9</v>
      </c>
      <c r="I58" s="45">
        <f>SUM(J58:M58)</f>
        <v>0.5</v>
      </c>
      <c r="J58" s="44">
        <v>0.5</v>
      </c>
      <c r="K58" s="54" t="s">
        <v>38</v>
      </c>
      <c r="L58" s="154"/>
      <c r="M58" s="156"/>
      <c r="N58" s="190"/>
      <c r="O58" s="124"/>
      <c r="P58" s="128"/>
      <c r="Q58" s="129"/>
    </row>
    <row r="59" spans="1:17" ht="36.75" customHeight="1" x14ac:dyDescent="0.25">
      <c r="A59" s="145"/>
      <c r="B59" s="145"/>
      <c r="C59" s="133"/>
      <c r="D59" s="133"/>
      <c r="E59" s="98"/>
      <c r="F59" s="114" t="s">
        <v>10</v>
      </c>
      <c r="G59" s="115"/>
      <c r="H59" s="36" t="s">
        <v>153</v>
      </c>
      <c r="I59" s="39">
        <f>SUM(J59:M59)</f>
        <v>0</v>
      </c>
      <c r="J59" s="57">
        <v>0</v>
      </c>
      <c r="K59" s="57">
        <v>0</v>
      </c>
      <c r="L59" s="154"/>
      <c r="M59" s="156"/>
      <c r="N59" s="190"/>
      <c r="O59" s="124"/>
      <c r="P59" s="128"/>
      <c r="Q59" s="129"/>
    </row>
    <row r="60" spans="1:17" ht="36.75" customHeight="1" x14ac:dyDescent="0.25">
      <c r="A60" s="145"/>
      <c r="B60" s="145"/>
      <c r="C60" s="133"/>
      <c r="D60" s="133"/>
      <c r="E60" s="98"/>
      <c r="F60" s="116"/>
      <c r="G60" s="117"/>
      <c r="H60" s="36" t="s">
        <v>154</v>
      </c>
      <c r="I60" s="39">
        <v>0</v>
      </c>
      <c r="J60" s="57">
        <v>0</v>
      </c>
      <c r="K60" s="57">
        <v>0</v>
      </c>
      <c r="L60" s="154"/>
      <c r="M60" s="156"/>
      <c r="N60" s="190"/>
      <c r="O60" s="124"/>
      <c r="P60" s="128"/>
      <c r="Q60" s="129"/>
    </row>
    <row r="61" spans="1:17" ht="36.75" customHeight="1" x14ac:dyDescent="0.25">
      <c r="A61" s="145"/>
      <c r="B61" s="145"/>
      <c r="C61" s="133"/>
      <c r="D61" s="133"/>
      <c r="E61" s="98"/>
      <c r="F61" s="116"/>
      <c r="G61" s="117"/>
      <c r="H61" s="36" t="s">
        <v>155</v>
      </c>
      <c r="I61" s="40">
        <f>SUM(J61:M61)</f>
        <v>0</v>
      </c>
      <c r="J61" s="57">
        <v>0</v>
      </c>
      <c r="K61" s="54" t="s">
        <v>39</v>
      </c>
      <c r="L61" s="154"/>
      <c r="M61" s="156"/>
      <c r="N61" s="190"/>
      <c r="O61" s="124"/>
      <c r="P61" s="128"/>
      <c r="Q61" s="129"/>
    </row>
    <row r="62" spans="1:17" ht="36.75" customHeight="1" x14ac:dyDescent="0.25">
      <c r="A62" s="145"/>
      <c r="B62" s="145"/>
      <c r="C62" s="134"/>
      <c r="D62" s="134"/>
      <c r="E62" s="99"/>
      <c r="F62" s="118"/>
      <c r="G62" s="119"/>
      <c r="H62" s="41" t="s">
        <v>11</v>
      </c>
      <c r="I62" s="40">
        <f>SUM(J62:M62)</f>
        <v>0</v>
      </c>
      <c r="J62" s="57">
        <v>0</v>
      </c>
      <c r="K62" s="54" t="s">
        <v>40</v>
      </c>
      <c r="L62" s="157"/>
      <c r="M62" s="159"/>
      <c r="N62" s="191"/>
      <c r="O62" s="125"/>
      <c r="P62" s="130"/>
      <c r="Q62" s="131"/>
    </row>
    <row r="63" spans="1:17" ht="36.75" customHeight="1" x14ac:dyDescent="0.25">
      <c r="A63" s="145"/>
      <c r="B63" s="145"/>
      <c r="C63" s="132" t="s">
        <v>44</v>
      </c>
      <c r="D63" s="132" t="s">
        <v>178</v>
      </c>
      <c r="E63" s="97" t="s">
        <v>179</v>
      </c>
      <c r="F63" s="101">
        <v>1</v>
      </c>
      <c r="G63" s="101">
        <v>0.64</v>
      </c>
      <c r="H63" s="36" t="s">
        <v>8</v>
      </c>
      <c r="I63" s="43">
        <v>1</v>
      </c>
      <c r="J63" s="44">
        <v>0</v>
      </c>
      <c r="K63" s="44">
        <v>0.5</v>
      </c>
      <c r="L63" s="44">
        <v>1</v>
      </c>
      <c r="M63" s="120"/>
      <c r="N63" s="189" t="s">
        <v>180</v>
      </c>
      <c r="O63" s="123" t="s">
        <v>20</v>
      </c>
      <c r="P63" s="126"/>
      <c r="Q63" s="127"/>
    </row>
    <row r="64" spans="1:17" ht="36.75" customHeight="1" x14ac:dyDescent="0.25">
      <c r="A64" s="145"/>
      <c r="B64" s="145"/>
      <c r="C64" s="133"/>
      <c r="D64" s="133"/>
      <c r="E64" s="98"/>
      <c r="F64" s="101"/>
      <c r="G64" s="101"/>
      <c r="H64" s="36" t="s">
        <v>9</v>
      </c>
      <c r="I64" s="45">
        <f>SUM(J64:M64)</f>
        <v>0</v>
      </c>
      <c r="J64" s="56">
        <v>0</v>
      </c>
      <c r="K64" s="54" t="s">
        <v>38</v>
      </c>
      <c r="L64" s="54" t="s">
        <v>38</v>
      </c>
      <c r="M64" s="121"/>
      <c r="N64" s="190"/>
      <c r="O64" s="124"/>
      <c r="P64" s="128"/>
      <c r="Q64" s="129"/>
    </row>
    <row r="65" spans="1:17" ht="36.75" customHeight="1" x14ac:dyDescent="0.25">
      <c r="A65" s="145"/>
      <c r="B65" s="145"/>
      <c r="C65" s="133"/>
      <c r="D65" s="133"/>
      <c r="E65" s="98"/>
      <c r="F65" s="114" t="s">
        <v>10</v>
      </c>
      <c r="G65" s="115"/>
      <c r="H65" s="36" t="s">
        <v>153</v>
      </c>
      <c r="I65" s="39">
        <f>SUM(J65:M65)</f>
        <v>400000000</v>
      </c>
      <c r="J65" s="57">
        <v>0</v>
      </c>
      <c r="K65" s="57">
        <v>200000000</v>
      </c>
      <c r="L65" s="57">
        <v>200000000</v>
      </c>
      <c r="M65" s="121"/>
      <c r="N65" s="190"/>
      <c r="O65" s="124"/>
      <c r="P65" s="128"/>
      <c r="Q65" s="129"/>
    </row>
    <row r="66" spans="1:17" ht="36.75" customHeight="1" x14ac:dyDescent="0.25">
      <c r="A66" s="145"/>
      <c r="B66" s="145"/>
      <c r="C66" s="133"/>
      <c r="D66" s="133"/>
      <c r="E66" s="98"/>
      <c r="F66" s="116"/>
      <c r="G66" s="117"/>
      <c r="H66" s="36" t="s">
        <v>154</v>
      </c>
      <c r="I66" s="39">
        <v>0</v>
      </c>
      <c r="J66" s="57">
        <v>0</v>
      </c>
      <c r="K66" s="57">
        <v>0</v>
      </c>
      <c r="L66" s="57">
        <v>0</v>
      </c>
      <c r="M66" s="121"/>
      <c r="N66" s="190"/>
      <c r="O66" s="124"/>
      <c r="P66" s="128"/>
      <c r="Q66" s="129"/>
    </row>
    <row r="67" spans="1:17" ht="36.75" customHeight="1" x14ac:dyDescent="0.25">
      <c r="A67" s="145"/>
      <c r="B67" s="145"/>
      <c r="C67" s="133"/>
      <c r="D67" s="133"/>
      <c r="E67" s="98"/>
      <c r="F67" s="116"/>
      <c r="G67" s="117"/>
      <c r="H67" s="36" t="s">
        <v>155</v>
      </c>
      <c r="I67" s="40">
        <f>SUM(J67:M67)</f>
        <v>0</v>
      </c>
      <c r="J67" s="57">
        <v>0</v>
      </c>
      <c r="K67" s="54" t="s">
        <v>39</v>
      </c>
      <c r="L67" s="54" t="s">
        <v>39</v>
      </c>
      <c r="M67" s="121"/>
      <c r="N67" s="190"/>
      <c r="O67" s="124"/>
      <c r="P67" s="128"/>
      <c r="Q67" s="129"/>
    </row>
    <row r="68" spans="1:17" ht="36.75" customHeight="1" x14ac:dyDescent="0.25">
      <c r="A68" s="145"/>
      <c r="B68" s="145"/>
      <c r="C68" s="134"/>
      <c r="D68" s="134"/>
      <c r="E68" s="99"/>
      <c r="F68" s="118"/>
      <c r="G68" s="119"/>
      <c r="H68" s="41" t="s">
        <v>11</v>
      </c>
      <c r="I68" s="40">
        <f>SUM(J68:M68)</f>
        <v>0</v>
      </c>
      <c r="J68" s="57">
        <v>0</v>
      </c>
      <c r="K68" s="54" t="s">
        <v>40</v>
      </c>
      <c r="L68" s="54" t="s">
        <v>40</v>
      </c>
      <c r="M68" s="122"/>
      <c r="N68" s="191"/>
      <c r="O68" s="125"/>
      <c r="P68" s="130"/>
      <c r="Q68" s="131"/>
    </row>
    <row r="69" spans="1:17" s="15" customFormat="1" x14ac:dyDescent="0.25">
      <c r="A69" s="22"/>
      <c r="B69" s="23"/>
      <c r="C69" s="24"/>
      <c r="D69" s="25"/>
      <c r="E69" s="25"/>
      <c r="F69" s="25"/>
      <c r="G69" s="25"/>
      <c r="H69" s="23"/>
      <c r="I69" s="26"/>
      <c r="J69" s="27"/>
      <c r="K69" s="27"/>
      <c r="L69" s="27"/>
      <c r="M69" s="27"/>
      <c r="N69" s="27"/>
      <c r="O69" s="27"/>
      <c r="P69" s="27"/>
      <c r="Q69" s="25"/>
    </row>
    <row r="70" spans="1:17" ht="25.5" customHeight="1" x14ac:dyDescent="0.25">
      <c r="A70" s="144" t="s">
        <v>25</v>
      </c>
      <c r="B70" s="144"/>
      <c r="C70" s="144"/>
      <c r="D70" s="144"/>
      <c r="E70" s="144"/>
      <c r="F70" s="144"/>
      <c r="G70" s="144"/>
      <c r="H70" s="144"/>
      <c r="I70" s="144"/>
      <c r="J70" s="144"/>
      <c r="K70" s="144"/>
      <c r="L70" s="144"/>
      <c r="M70" s="144"/>
      <c r="N70" s="144"/>
      <c r="O70" s="144"/>
      <c r="P70" s="144"/>
      <c r="Q70" s="144"/>
    </row>
    <row r="71" spans="1:17" ht="36.75" customHeight="1" x14ac:dyDescent="0.25">
      <c r="A71" s="145">
        <v>3</v>
      </c>
      <c r="B71" s="145" t="s">
        <v>26</v>
      </c>
      <c r="C71" s="132" t="s">
        <v>44</v>
      </c>
      <c r="D71" s="132" t="s">
        <v>67</v>
      </c>
      <c r="E71" s="97" t="s">
        <v>145</v>
      </c>
      <c r="F71" s="100">
        <v>1</v>
      </c>
      <c r="G71" s="101">
        <v>1</v>
      </c>
      <c r="H71" s="36" t="s">
        <v>8</v>
      </c>
      <c r="I71" s="43">
        <v>1</v>
      </c>
      <c r="J71" s="44">
        <v>1</v>
      </c>
      <c r="K71" s="151" t="s">
        <v>165</v>
      </c>
      <c r="L71" s="152"/>
      <c r="M71" s="153"/>
      <c r="N71" s="189" t="s">
        <v>164</v>
      </c>
      <c r="O71" s="105" t="s">
        <v>165</v>
      </c>
      <c r="P71" s="106"/>
      <c r="Q71" s="107"/>
    </row>
    <row r="72" spans="1:17" ht="36.75" customHeight="1" x14ac:dyDescent="0.25">
      <c r="A72" s="145"/>
      <c r="B72" s="145"/>
      <c r="C72" s="133"/>
      <c r="D72" s="133"/>
      <c r="E72" s="98"/>
      <c r="F72" s="100"/>
      <c r="G72" s="101"/>
      <c r="H72" s="36" t="s">
        <v>9</v>
      </c>
      <c r="I72" s="45">
        <f>SUM(J72:M72)</f>
        <v>1</v>
      </c>
      <c r="J72" s="56">
        <v>1</v>
      </c>
      <c r="K72" s="154"/>
      <c r="L72" s="155"/>
      <c r="M72" s="156"/>
      <c r="N72" s="190"/>
      <c r="O72" s="108"/>
      <c r="P72" s="109"/>
      <c r="Q72" s="110"/>
    </row>
    <row r="73" spans="1:17" ht="36.75" customHeight="1" x14ac:dyDescent="0.25">
      <c r="A73" s="145"/>
      <c r="B73" s="145"/>
      <c r="C73" s="133"/>
      <c r="D73" s="133"/>
      <c r="E73" s="98"/>
      <c r="F73" s="114" t="s">
        <v>10</v>
      </c>
      <c r="G73" s="115"/>
      <c r="H73" s="36" t="s">
        <v>153</v>
      </c>
      <c r="I73" s="39">
        <f>SUM(J73:M73)</f>
        <v>300000000</v>
      </c>
      <c r="J73" s="53">
        <v>300000000</v>
      </c>
      <c r="K73" s="154"/>
      <c r="L73" s="155"/>
      <c r="M73" s="156"/>
      <c r="N73" s="190"/>
      <c r="O73" s="108"/>
      <c r="P73" s="109"/>
      <c r="Q73" s="110"/>
    </row>
    <row r="74" spans="1:17" ht="36.75" customHeight="1" x14ac:dyDescent="0.25">
      <c r="A74" s="145"/>
      <c r="B74" s="145"/>
      <c r="C74" s="133"/>
      <c r="D74" s="133"/>
      <c r="E74" s="98"/>
      <c r="F74" s="116"/>
      <c r="G74" s="117"/>
      <c r="H74" s="36" t="s">
        <v>154</v>
      </c>
      <c r="I74" s="39">
        <f>J74</f>
        <v>293882156</v>
      </c>
      <c r="J74" s="57">
        <v>293882156</v>
      </c>
      <c r="K74" s="154"/>
      <c r="L74" s="155"/>
      <c r="M74" s="156"/>
      <c r="N74" s="190"/>
      <c r="O74" s="108"/>
      <c r="P74" s="109"/>
      <c r="Q74" s="110"/>
    </row>
    <row r="75" spans="1:17" ht="36.75" customHeight="1" x14ac:dyDescent="0.25">
      <c r="A75" s="145"/>
      <c r="B75" s="145"/>
      <c r="C75" s="133"/>
      <c r="D75" s="133"/>
      <c r="E75" s="98"/>
      <c r="F75" s="116"/>
      <c r="G75" s="117"/>
      <c r="H75" s="36" t="s">
        <v>155</v>
      </c>
      <c r="I75" s="40">
        <f>SUM(J75:M75)</f>
        <v>293882156</v>
      </c>
      <c r="J75" s="57">
        <v>293882156</v>
      </c>
      <c r="K75" s="154"/>
      <c r="L75" s="155"/>
      <c r="M75" s="156"/>
      <c r="N75" s="190"/>
      <c r="O75" s="108"/>
      <c r="P75" s="109"/>
      <c r="Q75" s="110"/>
    </row>
    <row r="76" spans="1:17" ht="36.75" customHeight="1" x14ac:dyDescent="0.25">
      <c r="A76" s="145"/>
      <c r="B76" s="145"/>
      <c r="C76" s="134"/>
      <c r="D76" s="134"/>
      <c r="E76" s="99"/>
      <c r="F76" s="118"/>
      <c r="G76" s="119"/>
      <c r="H76" s="41" t="s">
        <v>11</v>
      </c>
      <c r="I76" s="40">
        <f>SUM(J76:M76)</f>
        <v>293882156</v>
      </c>
      <c r="J76" s="57">
        <v>293882156</v>
      </c>
      <c r="K76" s="157"/>
      <c r="L76" s="158"/>
      <c r="M76" s="159"/>
      <c r="N76" s="191"/>
      <c r="O76" s="111"/>
      <c r="P76" s="112"/>
      <c r="Q76" s="113"/>
    </row>
    <row r="77" spans="1:17" ht="36.75" customHeight="1" x14ac:dyDescent="0.25">
      <c r="A77" s="145"/>
      <c r="B77" s="145"/>
      <c r="C77" s="132" t="s">
        <v>44</v>
      </c>
      <c r="D77" s="174" t="s">
        <v>136</v>
      </c>
      <c r="E77" s="138" t="s">
        <v>101</v>
      </c>
      <c r="F77" s="100">
        <v>1</v>
      </c>
      <c r="G77" s="101">
        <v>0.2</v>
      </c>
      <c r="H77" s="36" t="s">
        <v>8</v>
      </c>
      <c r="I77" s="43">
        <v>1</v>
      </c>
      <c r="J77" s="44">
        <v>1</v>
      </c>
      <c r="K77" s="151" t="s">
        <v>165</v>
      </c>
      <c r="L77" s="152"/>
      <c r="M77" s="153"/>
      <c r="N77" s="189" t="s">
        <v>185</v>
      </c>
      <c r="O77" s="123" t="s">
        <v>20</v>
      </c>
      <c r="P77" s="123" t="s">
        <v>20</v>
      </c>
      <c r="Q77" s="123" t="s">
        <v>20</v>
      </c>
    </row>
    <row r="78" spans="1:17" ht="36.75" customHeight="1" x14ac:dyDescent="0.25">
      <c r="A78" s="145"/>
      <c r="B78" s="145"/>
      <c r="C78" s="133"/>
      <c r="D78" s="154"/>
      <c r="E78" s="139"/>
      <c r="F78" s="100"/>
      <c r="G78" s="101"/>
      <c r="H78" s="36" t="s">
        <v>9</v>
      </c>
      <c r="I78" s="45">
        <f>SUM(J78:M78)</f>
        <v>1</v>
      </c>
      <c r="J78" s="44">
        <v>1</v>
      </c>
      <c r="K78" s="154"/>
      <c r="L78" s="155"/>
      <c r="M78" s="156"/>
      <c r="N78" s="190"/>
      <c r="O78" s="124"/>
      <c r="P78" s="124"/>
      <c r="Q78" s="124"/>
    </row>
    <row r="79" spans="1:17" ht="36.75" customHeight="1" x14ac:dyDescent="0.25">
      <c r="A79" s="145"/>
      <c r="B79" s="145"/>
      <c r="C79" s="133"/>
      <c r="D79" s="154"/>
      <c r="E79" s="139"/>
      <c r="F79" s="114" t="s">
        <v>10</v>
      </c>
      <c r="G79" s="115"/>
      <c r="H79" s="36" t="s">
        <v>153</v>
      </c>
      <c r="I79" s="39">
        <f>SUM(J79:M79)</f>
        <v>0</v>
      </c>
      <c r="J79" s="57">
        <v>0</v>
      </c>
      <c r="K79" s="154"/>
      <c r="L79" s="155"/>
      <c r="M79" s="156"/>
      <c r="N79" s="190"/>
      <c r="O79" s="124"/>
      <c r="P79" s="124"/>
      <c r="Q79" s="124"/>
    </row>
    <row r="80" spans="1:17" ht="36.75" customHeight="1" x14ac:dyDescent="0.25">
      <c r="A80" s="145"/>
      <c r="B80" s="145"/>
      <c r="C80" s="133"/>
      <c r="D80" s="154"/>
      <c r="E80" s="139"/>
      <c r="F80" s="116"/>
      <c r="G80" s="117"/>
      <c r="H80" s="36" t="s">
        <v>154</v>
      </c>
      <c r="I80" s="39">
        <v>0</v>
      </c>
      <c r="J80" s="57">
        <v>0</v>
      </c>
      <c r="K80" s="154"/>
      <c r="L80" s="155"/>
      <c r="M80" s="156"/>
      <c r="N80" s="190"/>
      <c r="O80" s="124"/>
      <c r="P80" s="124"/>
      <c r="Q80" s="124"/>
    </row>
    <row r="81" spans="1:17" ht="36.75" customHeight="1" x14ac:dyDescent="0.25">
      <c r="A81" s="145"/>
      <c r="B81" s="145"/>
      <c r="C81" s="133"/>
      <c r="D81" s="154"/>
      <c r="E81" s="139"/>
      <c r="F81" s="116"/>
      <c r="G81" s="117"/>
      <c r="H81" s="36" t="s">
        <v>155</v>
      </c>
      <c r="I81" s="40">
        <f>SUM(J81:M81)</f>
        <v>0</v>
      </c>
      <c r="J81" s="57">
        <v>0</v>
      </c>
      <c r="K81" s="154"/>
      <c r="L81" s="155"/>
      <c r="M81" s="156"/>
      <c r="N81" s="190"/>
      <c r="O81" s="124"/>
      <c r="P81" s="124"/>
      <c r="Q81" s="124"/>
    </row>
    <row r="82" spans="1:17" ht="36.75" customHeight="1" x14ac:dyDescent="0.25">
      <c r="A82" s="145"/>
      <c r="B82" s="145"/>
      <c r="C82" s="134"/>
      <c r="D82" s="157"/>
      <c r="E82" s="140"/>
      <c r="F82" s="118"/>
      <c r="G82" s="119"/>
      <c r="H82" s="41" t="s">
        <v>11</v>
      </c>
      <c r="I82" s="40">
        <f>SUM(J82:M82)</f>
        <v>276392403</v>
      </c>
      <c r="J82" s="57">
        <f>208451884+67940519</f>
        <v>276392403</v>
      </c>
      <c r="K82" s="157"/>
      <c r="L82" s="158"/>
      <c r="M82" s="159"/>
      <c r="N82" s="191"/>
      <c r="O82" s="125"/>
      <c r="P82" s="125"/>
      <c r="Q82" s="125"/>
    </row>
    <row r="83" spans="1:17" ht="36.75" customHeight="1" x14ac:dyDescent="0.25">
      <c r="A83" s="145"/>
      <c r="B83" s="145"/>
      <c r="C83" s="132" t="s">
        <v>44</v>
      </c>
      <c r="D83" s="174" t="s">
        <v>182</v>
      </c>
      <c r="E83" s="138"/>
      <c r="F83" s="100">
        <v>1</v>
      </c>
      <c r="G83" s="101">
        <v>0.5</v>
      </c>
      <c r="H83" s="36" t="s">
        <v>8</v>
      </c>
      <c r="I83" s="43">
        <v>1</v>
      </c>
      <c r="J83" s="44">
        <v>0</v>
      </c>
      <c r="K83" s="44">
        <v>0.5</v>
      </c>
      <c r="L83" s="44">
        <v>1</v>
      </c>
      <c r="M83" s="120"/>
      <c r="N83" s="189" t="s">
        <v>180</v>
      </c>
      <c r="O83" s="105"/>
      <c r="P83" s="106"/>
      <c r="Q83" s="107"/>
    </row>
    <row r="84" spans="1:17" ht="36.75" customHeight="1" x14ac:dyDescent="0.25">
      <c r="A84" s="145"/>
      <c r="B84" s="145"/>
      <c r="C84" s="133"/>
      <c r="D84" s="154"/>
      <c r="E84" s="139"/>
      <c r="F84" s="100"/>
      <c r="G84" s="101"/>
      <c r="H84" s="36" t="s">
        <v>9</v>
      </c>
      <c r="I84" s="45">
        <f>SUM(J84:M84)</f>
        <v>0</v>
      </c>
      <c r="J84" s="56">
        <v>0</v>
      </c>
      <c r="K84" s="54" t="s">
        <v>38</v>
      </c>
      <c r="L84" s="54" t="s">
        <v>38</v>
      </c>
      <c r="M84" s="121"/>
      <c r="N84" s="190"/>
      <c r="O84" s="108"/>
      <c r="P84" s="109"/>
      <c r="Q84" s="110"/>
    </row>
    <row r="85" spans="1:17" ht="36.75" customHeight="1" x14ac:dyDescent="0.25">
      <c r="A85" s="145"/>
      <c r="B85" s="145"/>
      <c r="C85" s="133"/>
      <c r="D85" s="154"/>
      <c r="E85" s="139"/>
      <c r="F85" s="114" t="s">
        <v>10</v>
      </c>
      <c r="G85" s="115"/>
      <c r="H85" s="36" t="s">
        <v>153</v>
      </c>
      <c r="I85" s="39">
        <f>SUM(J85:M85)</f>
        <v>812428000</v>
      </c>
      <c r="J85" s="57">
        <v>0</v>
      </c>
      <c r="K85" s="57">
        <v>406214000</v>
      </c>
      <c r="L85" s="57">
        <v>406214000</v>
      </c>
      <c r="M85" s="121"/>
      <c r="N85" s="190"/>
      <c r="O85" s="108"/>
      <c r="P85" s="109"/>
      <c r="Q85" s="110"/>
    </row>
    <row r="86" spans="1:17" ht="36.75" customHeight="1" x14ac:dyDescent="0.25">
      <c r="A86" s="145"/>
      <c r="B86" s="145"/>
      <c r="C86" s="133"/>
      <c r="D86" s="154"/>
      <c r="E86" s="139"/>
      <c r="F86" s="116"/>
      <c r="G86" s="117"/>
      <c r="H86" s="36" t="s">
        <v>154</v>
      </c>
      <c r="I86" s="39">
        <f>J86</f>
        <v>0</v>
      </c>
      <c r="J86" s="57">
        <v>0</v>
      </c>
      <c r="K86" s="57">
        <v>0</v>
      </c>
      <c r="L86" s="57">
        <v>0</v>
      </c>
      <c r="M86" s="121"/>
      <c r="N86" s="190"/>
      <c r="O86" s="108"/>
      <c r="P86" s="109"/>
      <c r="Q86" s="110"/>
    </row>
    <row r="87" spans="1:17" ht="36.75" customHeight="1" x14ac:dyDescent="0.25">
      <c r="A87" s="145"/>
      <c r="B87" s="145"/>
      <c r="C87" s="133"/>
      <c r="D87" s="154"/>
      <c r="E87" s="139"/>
      <c r="F87" s="116"/>
      <c r="G87" s="117"/>
      <c r="H87" s="36" t="s">
        <v>155</v>
      </c>
      <c r="I87" s="40">
        <f>SUM(J87:M87)</f>
        <v>0</v>
      </c>
      <c r="J87" s="57">
        <v>0</v>
      </c>
      <c r="K87" s="57">
        <v>0</v>
      </c>
      <c r="L87" s="57">
        <v>0</v>
      </c>
      <c r="M87" s="121"/>
      <c r="N87" s="190"/>
      <c r="O87" s="108"/>
      <c r="P87" s="109"/>
      <c r="Q87" s="110"/>
    </row>
    <row r="88" spans="1:17" ht="36.75" customHeight="1" x14ac:dyDescent="0.25">
      <c r="A88" s="145"/>
      <c r="B88" s="145"/>
      <c r="C88" s="134"/>
      <c r="D88" s="157"/>
      <c r="E88" s="140"/>
      <c r="F88" s="118"/>
      <c r="G88" s="119"/>
      <c r="H88" s="41" t="s">
        <v>11</v>
      </c>
      <c r="I88" s="40">
        <f>SUM(J88:M88)</f>
        <v>0</v>
      </c>
      <c r="J88" s="57">
        <v>0</v>
      </c>
      <c r="K88" s="57">
        <v>0</v>
      </c>
      <c r="L88" s="57">
        <v>0</v>
      </c>
      <c r="M88" s="122"/>
      <c r="N88" s="191"/>
      <c r="O88" s="111"/>
      <c r="P88" s="112"/>
      <c r="Q88" s="113"/>
    </row>
    <row r="89" spans="1:17" ht="36.75" customHeight="1" x14ac:dyDescent="0.25">
      <c r="A89" s="145"/>
      <c r="B89" s="145"/>
      <c r="C89" s="132" t="s">
        <v>44</v>
      </c>
      <c r="D89" s="174" t="s">
        <v>187</v>
      </c>
      <c r="E89" s="97" t="s">
        <v>101</v>
      </c>
      <c r="F89" s="100">
        <v>1</v>
      </c>
      <c r="G89" s="101">
        <v>0.5</v>
      </c>
      <c r="H89" s="36" t="s">
        <v>8</v>
      </c>
      <c r="I89" s="43">
        <v>1</v>
      </c>
      <c r="J89" s="44">
        <v>1</v>
      </c>
      <c r="K89" s="151" t="s">
        <v>165</v>
      </c>
      <c r="L89" s="152"/>
      <c r="M89" s="153"/>
      <c r="N89" s="189" t="s">
        <v>186</v>
      </c>
      <c r="O89" s="105"/>
      <c r="P89" s="106"/>
      <c r="Q89" s="107"/>
    </row>
    <row r="90" spans="1:17" ht="36.75" customHeight="1" x14ac:dyDescent="0.25">
      <c r="A90" s="145"/>
      <c r="B90" s="145"/>
      <c r="C90" s="133"/>
      <c r="D90" s="154"/>
      <c r="E90" s="98"/>
      <c r="F90" s="100"/>
      <c r="G90" s="101"/>
      <c r="H90" s="36" t="s">
        <v>9</v>
      </c>
      <c r="I90" s="45">
        <f>SUM(J90:M90)</f>
        <v>1</v>
      </c>
      <c r="J90" s="44">
        <v>1</v>
      </c>
      <c r="K90" s="154"/>
      <c r="L90" s="155"/>
      <c r="M90" s="156"/>
      <c r="N90" s="190"/>
      <c r="O90" s="108"/>
      <c r="P90" s="109"/>
      <c r="Q90" s="110"/>
    </row>
    <row r="91" spans="1:17" ht="36.75" customHeight="1" x14ac:dyDescent="0.25">
      <c r="A91" s="145"/>
      <c r="B91" s="145"/>
      <c r="C91" s="133"/>
      <c r="D91" s="154"/>
      <c r="E91" s="98"/>
      <c r="F91" s="114" t="s">
        <v>10</v>
      </c>
      <c r="G91" s="115"/>
      <c r="H91" s="36" t="s">
        <v>153</v>
      </c>
      <c r="I91" s="39">
        <f>SUM(J91:M91)</f>
        <v>20540000</v>
      </c>
      <c r="J91" s="57">
        <v>20540000</v>
      </c>
      <c r="K91" s="154"/>
      <c r="L91" s="155"/>
      <c r="M91" s="156"/>
      <c r="N91" s="190"/>
      <c r="O91" s="108"/>
      <c r="P91" s="109"/>
      <c r="Q91" s="110"/>
    </row>
    <row r="92" spans="1:17" ht="36.75" customHeight="1" x14ac:dyDescent="0.25">
      <c r="A92" s="145"/>
      <c r="B92" s="145"/>
      <c r="C92" s="133"/>
      <c r="D92" s="154"/>
      <c r="E92" s="98"/>
      <c r="F92" s="116"/>
      <c r="G92" s="117"/>
      <c r="H92" s="36" t="s">
        <v>154</v>
      </c>
      <c r="I92" s="39">
        <f>J92</f>
        <v>20533450</v>
      </c>
      <c r="J92" s="57">
        <v>20533450</v>
      </c>
      <c r="K92" s="154"/>
      <c r="L92" s="155"/>
      <c r="M92" s="156"/>
      <c r="N92" s="190"/>
      <c r="O92" s="108"/>
      <c r="P92" s="109"/>
      <c r="Q92" s="110"/>
    </row>
    <row r="93" spans="1:17" ht="36.75" customHeight="1" x14ac:dyDescent="0.25">
      <c r="A93" s="145"/>
      <c r="B93" s="145"/>
      <c r="C93" s="133"/>
      <c r="D93" s="154"/>
      <c r="E93" s="98"/>
      <c r="F93" s="116"/>
      <c r="G93" s="117"/>
      <c r="H93" s="36" t="s">
        <v>155</v>
      </c>
      <c r="I93" s="40">
        <f>SUM(J93:M93)</f>
        <v>20533450</v>
      </c>
      <c r="J93" s="57">
        <v>20533450</v>
      </c>
      <c r="K93" s="154"/>
      <c r="L93" s="155"/>
      <c r="M93" s="156"/>
      <c r="N93" s="190"/>
      <c r="O93" s="108"/>
      <c r="P93" s="109"/>
      <c r="Q93" s="110"/>
    </row>
    <row r="94" spans="1:17" ht="36.75" customHeight="1" x14ac:dyDescent="0.25">
      <c r="A94" s="145"/>
      <c r="B94" s="145"/>
      <c r="C94" s="134"/>
      <c r="D94" s="157"/>
      <c r="E94" s="99"/>
      <c r="F94" s="118"/>
      <c r="G94" s="119"/>
      <c r="H94" s="41" t="s">
        <v>11</v>
      </c>
      <c r="I94" s="40">
        <f>SUM(J94:M94)</f>
        <v>20533450</v>
      </c>
      <c r="J94" s="57">
        <v>20533450</v>
      </c>
      <c r="K94" s="157"/>
      <c r="L94" s="158"/>
      <c r="M94" s="159"/>
      <c r="N94" s="191"/>
      <c r="O94" s="111"/>
      <c r="P94" s="112"/>
      <c r="Q94" s="113"/>
    </row>
    <row r="95" spans="1:17" ht="36.75" customHeight="1" x14ac:dyDescent="0.25">
      <c r="A95" s="145"/>
      <c r="B95" s="145"/>
      <c r="C95" s="132" t="s">
        <v>44</v>
      </c>
      <c r="D95" s="174" t="s">
        <v>68</v>
      </c>
      <c r="E95" s="97" t="s">
        <v>144</v>
      </c>
      <c r="F95" s="100">
        <v>1</v>
      </c>
      <c r="G95" s="101">
        <v>1</v>
      </c>
      <c r="H95" s="36" t="s">
        <v>8</v>
      </c>
      <c r="I95" s="43">
        <v>1</v>
      </c>
      <c r="J95" s="44">
        <v>0</v>
      </c>
      <c r="K95" s="44">
        <v>0.5</v>
      </c>
      <c r="L95" s="44">
        <v>1</v>
      </c>
      <c r="M95" s="120"/>
      <c r="N95" s="189" t="s">
        <v>196</v>
      </c>
      <c r="O95" s="123" t="s">
        <v>20</v>
      </c>
      <c r="P95" s="123" t="s">
        <v>20</v>
      </c>
      <c r="Q95" s="123"/>
    </row>
    <row r="96" spans="1:17" ht="36.75" customHeight="1" x14ac:dyDescent="0.25">
      <c r="A96" s="145"/>
      <c r="B96" s="145"/>
      <c r="C96" s="133"/>
      <c r="D96" s="154"/>
      <c r="E96" s="98"/>
      <c r="F96" s="100"/>
      <c r="G96" s="101"/>
      <c r="H96" s="36" t="s">
        <v>9</v>
      </c>
      <c r="I96" s="45">
        <f>SUM(J96:M96)</f>
        <v>0.25</v>
      </c>
      <c r="J96" s="44">
        <v>0.25</v>
      </c>
      <c r="K96" s="54" t="s">
        <v>38</v>
      </c>
      <c r="L96" s="54" t="s">
        <v>38</v>
      </c>
      <c r="M96" s="121"/>
      <c r="N96" s="190"/>
      <c r="O96" s="124"/>
      <c r="P96" s="124"/>
      <c r="Q96" s="124"/>
    </row>
    <row r="97" spans="1:17" ht="36.75" customHeight="1" x14ac:dyDescent="0.25">
      <c r="A97" s="145"/>
      <c r="B97" s="145"/>
      <c r="C97" s="133"/>
      <c r="D97" s="154"/>
      <c r="E97" s="98"/>
      <c r="F97" s="114" t="s">
        <v>10</v>
      </c>
      <c r="G97" s="115"/>
      <c r="H97" s="36" t="s">
        <v>153</v>
      </c>
      <c r="I97" s="39">
        <f>SUM(J97:M97)</f>
        <v>450000000</v>
      </c>
      <c r="J97" s="57">
        <v>0</v>
      </c>
      <c r="K97" s="57">
        <v>225000000</v>
      </c>
      <c r="L97" s="57">
        <v>225000000</v>
      </c>
      <c r="M97" s="121"/>
      <c r="N97" s="190"/>
      <c r="O97" s="124"/>
      <c r="P97" s="124"/>
      <c r="Q97" s="124"/>
    </row>
    <row r="98" spans="1:17" ht="36.75" customHeight="1" x14ac:dyDescent="0.25">
      <c r="A98" s="145"/>
      <c r="B98" s="145"/>
      <c r="C98" s="133"/>
      <c r="D98" s="154"/>
      <c r="E98" s="98"/>
      <c r="F98" s="116"/>
      <c r="G98" s="117"/>
      <c r="H98" s="36" t="s">
        <v>154</v>
      </c>
      <c r="I98" s="39">
        <f>SUM(J98:L98)</f>
        <v>430421461</v>
      </c>
      <c r="J98" s="57">
        <v>0</v>
      </c>
      <c r="K98" s="57">
        <v>430421461</v>
      </c>
      <c r="L98" s="57">
        <v>0</v>
      </c>
      <c r="M98" s="121"/>
      <c r="N98" s="190"/>
      <c r="O98" s="124"/>
      <c r="P98" s="124"/>
      <c r="Q98" s="124"/>
    </row>
    <row r="99" spans="1:17" ht="36.75" customHeight="1" x14ac:dyDescent="0.25">
      <c r="A99" s="145"/>
      <c r="B99" s="145"/>
      <c r="C99" s="133"/>
      <c r="D99" s="154"/>
      <c r="E99" s="98"/>
      <c r="F99" s="116"/>
      <c r="G99" s="117"/>
      <c r="H99" s="36" t="s">
        <v>155</v>
      </c>
      <c r="I99" s="40">
        <f>SUM(J99:M99)</f>
        <v>430421461</v>
      </c>
      <c r="J99" s="57">
        <v>430421461</v>
      </c>
      <c r="K99" s="54" t="s">
        <v>39</v>
      </c>
      <c r="L99" s="54" t="s">
        <v>39</v>
      </c>
      <c r="M99" s="121"/>
      <c r="N99" s="190"/>
      <c r="O99" s="124"/>
      <c r="P99" s="124"/>
      <c r="Q99" s="124"/>
    </row>
    <row r="100" spans="1:17" ht="36.75" customHeight="1" x14ac:dyDescent="0.25">
      <c r="A100" s="145"/>
      <c r="B100" s="145"/>
      <c r="C100" s="134"/>
      <c r="D100" s="157"/>
      <c r="E100" s="99"/>
      <c r="F100" s="118"/>
      <c r="G100" s="119"/>
      <c r="H100" s="41" t="s">
        <v>11</v>
      </c>
      <c r="I100" s="40">
        <f>SUM(J100:M100)</f>
        <v>0</v>
      </c>
      <c r="J100" s="57">
        <v>0</v>
      </c>
      <c r="K100" s="54" t="s">
        <v>40</v>
      </c>
      <c r="L100" s="54" t="s">
        <v>40</v>
      </c>
      <c r="M100" s="122"/>
      <c r="N100" s="191"/>
      <c r="O100" s="125"/>
      <c r="P100" s="125"/>
      <c r="Q100" s="125"/>
    </row>
    <row r="101" spans="1:17" ht="47.25" customHeight="1" x14ac:dyDescent="0.25">
      <c r="A101" s="145"/>
      <c r="B101" s="145"/>
      <c r="C101" s="132" t="s">
        <v>44</v>
      </c>
      <c r="D101" s="174" t="s">
        <v>137</v>
      </c>
      <c r="E101" s="138" t="s">
        <v>101</v>
      </c>
      <c r="F101" s="100">
        <v>1</v>
      </c>
      <c r="G101" s="101">
        <v>0.5</v>
      </c>
      <c r="H101" s="36" t="s">
        <v>8</v>
      </c>
      <c r="I101" s="43">
        <v>1</v>
      </c>
      <c r="J101" s="44">
        <v>1</v>
      </c>
      <c r="K101" s="44">
        <v>1</v>
      </c>
      <c r="L101" s="151">
        <v>1</v>
      </c>
      <c r="M101" s="153"/>
      <c r="N101" s="189" t="s">
        <v>188</v>
      </c>
      <c r="O101" s="105"/>
      <c r="P101" s="106"/>
      <c r="Q101" s="107"/>
    </row>
    <row r="102" spans="1:17" ht="47.25" customHeight="1" x14ac:dyDescent="0.25">
      <c r="A102" s="145"/>
      <c r="B102" s="145"/>
      <c r="C102" s="133"/>
      <c r="D102" s="154"/>
      <c r="E102" s="139"/>
      <c r="F102" s="100"/>
      <c r="G102" s="101"/>
      <c r="H102" s="36" t="s">
        <v>9</v>
      </c>
      <c r="I102" s="45">
        <f>SUM(J102:M102)</f>
        <v>0.9</v>
      </c>
      <c r="J102" s="44">
        <v>0.9</v>
      </c>
      <c r="K102" s="54" t="s">
        <v>38</v>
      </c>
      <c r="L102" s="154"/>
      <c r="M102" s="156"/>
      <c r="N102" s="190"/>
      <c r="O102" s="108"/>
      <c r="P102" s="109"/>
      <c r="Q102" s="110"/>
    </row>
    <row r="103" spans="1:17" ht="47.25" customHeight="1" x14ac:dyDescent="0.25">
      <c r="A103" s="145"/>
      <c r="B103" s="145"/>
      <c r="C103" s="133"/>
      <c r="D103" s="154"/>
      <c r="E103" s="139"/>
      <c r="F103" s="114" t="s">
        <v>10</v>
      </c>
      <c r="G103" s="115"/>
      <c r="H103" s="36" t="s">
        <v>153</v>
      </c>
      <c r="I103" s="39">
        <f>SUM(J103:M103)</f>
        <v>0</v>
      </c>
      <c r="J103" s="57">
        <v>0</v>
      </c>
      <c r="K103" s="57">
        <v>0</v>
      </c>
      <c r="L103" s="154"/>
      <c r="M103" s="156"/>
      <c r="N103" s="190"/>
      <c r="O103" s="108"/>
      <c r="P103" s="109"/>
      <c r="Q103" s="110"/>
    </row>
    <row r="104" spans="1:17" ht="47.25" customHeight="1" x14ac:dyDescent="0.25">
      <c r="A104" s="145"/>
      <c r="B104" s="145"/>
      <c r="C104" s="133"/>
      <c r="D104" s="154"/>
      <c r="E104" s="139"/>
      <c r="F104" s="116"/>
      <c r="G104" s="117"/>
      <c r="H104" s="36" t="s">
        <v>154</v>
      </c>
      <c r="I104" s="39">
        <v>0</v>
      </c>
      <c r="J104" s="57">
        <v>0</v>
      </c>
      <c r="K104" s="57">
        <v>0</v>
      </c>
      <c r="L104" s="154"/>
      <c r="M104" s="156"/>
      <c r="N104" s="190"/>
      <c r="O104" s="108"/>
      <c r="P104" s="109"/>
      <c r="Q104" s="110"/>
    </row>
    <row r="105" spans="1:17" ht="47.25" customHeight="1" x14ac:dyDescent="0.25">
      <c r="A105" s="145"/>
      <c r="B105" s="145"/>
      <c r="C105" s="133"/>
      <c r="D105" s="154"/>
      <c r="E105" s="139"/>
      <c r="F105" s="116"/>
      <c r="G105" s="117"/>
      <c r="H105" s="36" t="s">
        <v>155</v>
      </c>
      <c r="I105" s="40">
        <f>SUM(J105:M105)</f>
        <v>0</v>
      </c>
      <c r="J105" s="57">
        <v>0</v>
      </c>
      <c r="K105" s="57">
        <v>0</v>
      </c>
      <c r="L105" s="154"/>
      <c r="M105" s="156"/>
      <c r="N105" s="190"/>
      <c r="O105" s="108"/>
      <c r="P105" s="109"/>
      <c r="Q105" s="110"/>
    </row>
    <row r="106" spans="1:17" ht="47.25" customHeight="1" x14ac:dyDescent="0.25">
      <c r="A106" s="145"/>
      <c r="B106" s="145"/>
      <c r="C106" s="134"/>
      <c r="D106" s="157"/>
      <c r="E106" s="140"/>
      <c r="F106" s="118"/>
      <c r="G106" s="119"/>
      <c r="H106" s="41" t="s">
        <v>11</v>
      </c>
      <c r="I106" s="40">
        <f>SUM(J106:M106)</f>
        <v>70754166</v>
      </c>
      <c r="J106" s="57">
        <f>26853666+9226000+2306500+25894400+6473600</f>
        <v>70754166</v>
      </c>
      <c r="K106" s="57">
        <v>0</v>
      </c>
      <c r="L106" s="157"/>
      <c r="M106" s="159"/>
      <c r="N106" s="191"/>
      <c r="O106" s="111"/>
      <c r="P106" s="112"/>
      <c r="Q106" s="113"/>
    </row>
    <row r="107" spans="1:17" s="15" customFormat="1" x14ac:dyDescent="0.25">
      <c r="A107" s="22"/>
      <c r="B107" s="23"/>
      <c r="C107" s="24"/>
      <c r="D107" s="25"/>
      <c r="E107" s="25"/>
      <c r="F107" s="25"/>
      <c r="G107" s="25"/>
      <c r="H107" s="23"/>
      <c r="I107" s="26"/>
      <c r="J107" s="27"/>
      <c r="K107" s="27"/>
      <c r="L107" s="27"/>
      <c r="M107" s="27"/>
      <c r="N107" s="27"/>
      <c r="O107" s="27"/>
      <c r="P107" s="27"/>
      <c r="Q107" s="25"/>
    </row>
    <row r="108" spans="1:17" ht="25.5" customHeight="1" x14ac:dyDescent="0.25">
      <c r="A108" s="144" t="s">
        <v>27</v>
      </c>
      <c r="B108" s="144"/>
      <c r="C108" s="144"/>
      <c r="D108" s="144"/>
      <c r="E108" s="144"/>
      <c r="F108" s="144"/>
      <c r="G108" s="144"/>
      <c r="H108" s="144"/>
      <c r="I108" s="144"/>
      <c r="J108" s="144"/>
      <c r="K108" s="144"/>
      <c r="L108" s="144"/>
      <c r="M108" s="144"/>
      <c r="N108" s="144"/>
      <c r="O108" s="144"/>
      <c r="P108" s="144"/>
      <c r="Q108" s="144"/>
    </row>
    <row r="109" spans="1:17" ht="36.75" customHeight="1" x14ac:dyDescent="0.25">
      <c r="A109" s="145">
        <v>4</v>
      </c>
      <c r="B109" s="145" t="s">
        <v>32</v>
      </c>
      <c r="C109" s="132" t="s">
        <v>44</v>
      </c>
      <c r="D109" s="135" t="s">
        <v>47</v>
      </c>
      <c r="E109" s="97" t="s">
        <v>146</v>
      </c>
      <c r="F109" s="100">
        <v>1</v>
      </c>
      <c r="G109" s="172">
        <v>0.25</v>
      </c>
      <c r="H109" s="36" t="s">
        <v>8</v>
      </c>
      <c r="I109" s="43">
        <v>1</v>
      </c>
      <c r="J109" s="44">
        <v>0.5</v>
      </c>
      <c r="K109" s="44">
        <v>1</v>
      </c>
      <c r="L109" s="160"/>
      <c r="M109" s="162"/>
      <c r="N109" s="192" t="s">
        <v>161</v>
      </c>
      <c r="O109" s="123" t="s">
        <v>20</v>
      </c>
      <c r="P109" s="126"/>
      <c r="Q109" s="127"/>
    </row>
    <row r="110" spans="1:17" ht="36.75" customHeight="1" x14ac:dyDescent="0.25">
      <c r="A110" s="145"/>
      <c r="B110" s="145"/>
      <c r="C110" s="133"/>
      <c r="D110" s="136"/>
      <c r="E110" s="98"/>
      <c r="F110" s="100"/>
      <c r="G110" s="173"/>
      <c r="H110" s="36" t="s">
        <v>9</v>
      </c>
      <c r="I110" s="45">
        <f>SUM(J110:M110)</f>
        <v>0.5</v>
      </c>
      <c r="J110" s="56">
        <v>0.5</v>
      </c>
      <c r="K110" s="54" t="s">
        <v>38</v>
      </c>
      <c r="L110" s="163"/>
      <c r="M110" s="165"/>
      <c r="N110" s="190"/>
      <c r="O110" s="124"/>
      <c r="P110" s="128"/>
      <c r="Q110" s="129"/>
    </row>
    <row r="111" spans="1:17" ht="36.75" customHeight="1" x14ac:dyDescent="0.25">
      <c r="A111" s="145"/>
      <c r="B111" s="145"/>
      <c r="C111" s="133"/>
      <c r="D111" s="136"/>
      <c r="E111" s="98"/>
      <c r="F111" s="114" t="s">
        <v>10</v>
      </c>
      <c r="G111" s="115"/>
      <c r="H111" s="36" t="s">
        <v>153</v>
      </c>
      <c r="I111" s="39">
        <f>SUM(J111:M111)</f>
        <v>109004179</v>
      </c>
      <c r="J111" s="53">
        <v>36334727</v>
      </c>
      <c r="K111" s="53">
        <v>72669452</v>
      </c>
      <c r="L111" s="163"/>
      <c r="M111" s="165"/>
      <c r="N111" s="190"/>
      <c r="O111" s="124"/>
      <c r="P111" s="128"/>
      <c r="Q111" s="129"/>
    </row>
    <row r="112" spans="1:17" ht="36.75" customHeight="1" x14ac:dyDescent="0.25">
      <c r="A112" s="145"/>
      <c r="B112" s="145"/>
      <c r="C112" s="133"/>
      <c r="D112" s="136"/>
      <c r="E112" s="98"/>
      <c r="F112" s="116"/>
      <c r="G112" s="117"/>
      <c r="H112" s="36" t="s">
        <v>154</v>
      </c>
      <c r="I112" s="39">
        <f>SUM(J112:K112)</f>
        <v>107620071</v>
      </c>
      <c r="J112" s="57">
        <v>34950621</v>
      </c>
      <c r="K112" s="57">
        <v>72669450</v>
      </c>
      <c r="L112" s="163"/>
      <c r="M112" s="165"/>
      <c r="N112" s="190"/>
      <c r="O112" s="124"/>
      <c r="P112" s="128"/>
      <c r="Q112" s="129"/>
    </row>
    <row r="113" spans="1:17" ht="36.75" customHeight="1" x14ac:dyDescent="0.25">
      <c r="A113" s="145"/>
      <c r="B113" s="145"/>
      <c r="C113" s="133"/>
      <c r="D113" s="136"/>
      <c r="E113" s="98"/>
      <c r="F113" s="116"/>
      <c r="G113" s="117"/>
      <c r="H113" s="36" t="s">
        <v>155</v>
      </c>
      <c r="I113" s="40">
        <f>SUM(J113:M113)</f>
        <v>107620071</v>
      </c>
      <c r="J113" s="57">
        <v>107620071</v>
      </c>
      <c r="K113" s="54" t="s">
        <v>39</v>
      </c>
      <c r="L113" s="163"/>
      <c r="M113" s="165"/>
      <c r="N113" s="190"/>
      <c r="O113" s="124"/>
      <c r="P113" s="128"/>
      <c r="Q113" s="129"/>
    </row>
    <row r="114" spans="1:17" ht="36.75" customHeight="1" x14ac:dyDescent="0.25">
      <c r="A114" s="145"/>
      <c r="B114" s="145"/>
      <c r="C114" s="134"/>
      <c r="D114" s="137"/>
      <c r="E114" s="99"/>
      <c r="F114" s="118"/>
      <c r="G114" s="119"/>
      <c r="H114" s="41" t="s">
        <v>11</v>
      </c>
      <c r="I114" s="40">
        <f>SUM(J114:M114)</f>
        <v>34950621.5</v>
      </c>
      <c r="J114" s="57">
        <v>34950621.5</v>
      </c>
      <c r="K114" s="54" t="s">
        <v>40</v>
      </c>
      <c r="L114" s="166"/>
      <c r="M114" s="168"/>
      <c r="N114" s="191"/>
      <c r="O114" s="125"/>
      <c r="P114" s="130"/>
      <c r="Q114" s="131"/>
    </row>
    <row r="115" spans="1:17" s="4" customFormat="1" ht="36.75" customHeight="1" x14ac:dyDescent="0.2">
      <c r="A115" s="145"/>
      <c r="B115" s="145"/>
      <c r="C115" s="132" t="s">
        <v>44</v>
      </c>
      <c r="D115" s="135" t="s">
        <v>28</v>
      </c>
      <c r="E115" s="97" t="s">
        <v>146</v>
      </c>
      <c r="F115" s="100">
        <v>1</v>
      </c>
      <c r="G115" s="172">
        <v>0.5</v>
      </c>
      <c r="H115" s="36" t="s">
        <v>8</v>
      </c>
      <c r="I115" s="37">
        <v>1</v>
      </c>
      <c r="J115" s="42">
        <v>0.75</v>
      </c>
      <c r="K115" s="42">
        <v>1</v>
      </c>
      <c r="L115" s="160"/>
      <c r="M115" s="162"/>
      <c r="N115" s="192" t="s">
        <v>162</v>
      </c>
      <c r="O115" s="123" t="s">
        <v>20</v>
      </c>
      <c r="P115" s="126"/>
      <c r="Q115" s="127"/>
    </row>
    <row r="116" spans="1:17" s="4" customFormat="1" ht="36.75" customHeight="1" x14ac:dyDescent="0.2">
      <c r="A116" s="145"/>
      <c r="B116" s="145"/>
      <c r="C116" s="133"/>
      <c r="D116" s="136"/>
      <c r="E116" s="98"/>
      <c r="F116" s="100"/>
      <c r="G116" s="173"/>
      <c r="H116" s="36" t="s">
        <v>9</v>
      </c>
      <c r="I116" s="38">
        <f>SUM(J116:M116)</f>
        <v>0.75</v>
      </c>
      <c r="J116" s="56">
        <v>0.75</v>
      </c>
      <c r="K116" s="54" t="s">
        <v>38</v>
      </c>
      <c r="L116" s="163"/>
      <c r="M116" s="165"/>
      <c r="N116" s="190"/>
      <c r="O116" s="124"/>
      <c r="P116" s="128"/>
      <c r="Q116" s="129"/>
    </row>
    <row r="117" spans="1:17" ht="36.75" customHeight="1" x14ac:dyDescent="0.25">
      <c r="A117" s="145"/>
      <c r="B117" s="145"/>
      <c r="C117" s="133"/>
      <c r="D117" s="136"/>
      <c r="E117" s="98"/>
      <c r="F117" s="114" t="s">
        <v>10</v>
      </c>
      <c r="G117" s="115"/>
      <c r="H117" s="36" t="s">
        <v>153</v>
      </c>
      <c r="I117" s="39">
        <f>SUM(J117:M117)</f>
        <v>79933726</v>
      </c>
      <c r="J117" s="53">
        <v>15289650</v>
      </c>
      <c r="K117" s="53">
        <v>64644076</v>
      </c>
      <c r="L117" s="163"/>
      <c r="M117" s="165"/>
      <c r="N117" s="190"/>
      <c r="O117" s="124"/>
      <c r="P117" s="128"/>
      <c r="Q117" s="129"/>
    </row>
    <row r="118" spans="1:17" ht="36.75" customHeight="1" x14ac:dyDescent="0.25">
      <c r="A118" s="145"/>
      <c r="B118" s="145"/>
      <c r="C118" s="133"/>
      <c r="D118" s="136"/>
      <c r="E118" s="98"/>
      <c r="F118" s="116"/>
      <c r="G118" s="117"/>
      <c r="H118" s="36" t="s">
        <v>154</v>
      </c>
      <c r="I118" s="39">
        <f>SUM(J118:K118)</f>
        <v>97013148</v>
      </c>
      <c r="J118" s="57">
        <v>29066196</v>
      </c>
      <c r="K118" s="57">
        <v>67946952</v>
      </c>
      <c r="L118" s="163"/>
      <c r="M118" s="165"/>
      <c r="N118" s="190"/>
      <c r="O118" s="124"/>
      <c r="P118" s="128"/>
      <c r="Q118" s="129"/>
    </row>
    <row r="119" spans="1:17" ht="36.75" customHeight="1" x14ac:dyDescent="0.25">
      <c r="A119" s="145"/>
      <c r="B119" s="145"/>
      <c r="C119" s="133"/>
      <c r="D119" s="136"/>
      <c r="E119" s="98"/>
      <c r="F119" s="116"/>
      <c r="G119" s="117"/>
      <c r="H119" s="36" t="s">
        <v>155</v>
      </c>
      <c r="I119" s="40">
        <f>SUM(J119:M119)</f>
        <v>97013148</v>
      </c>
      <c r="J119" s="57">
        <v>97013148</v>
      </c>
      <c r="K119" s="54" t="s">
        <v>39</v>
      </c>
      <c r="L119" s="163"/>
      <c r="M119" s="165"/>
      <c r="N119" s="190"/>
      <c r="O119" s="124"/>
      <c r="P119" s="128"/>
      <c r="Q119" s="129"/>
    </row>
    <row r="120" spans="1:17" ht="36.75" customHeight="1" x14ac:dyDescent="0.25">
      <c r="A120" s="145"/>
      <c r="B120" s="145"/>
      <c r="C120" s="134"/>
      <c r="D120" s="137"/>
      <c r="E120" s="99"/>
      <c r="F120" s="118"/>
      <c r="G120" s="119"/>
      <c r="H120" s="41" t="s">
        <v>11</v>
      </c>
      <c r="I120" s="40">
        <f>SUM(J120:M120)</f>
        <v>29066196</v>
      </c>
      <c r="J120" s="57">
        <v>29066196</v>
      </c>
      <c r="K120" s="54" t="s">
        <v>40</v>
      </c>
      <c r="L120" s="166"/>
      <c r="M120" s="168"/>
      <c r="N120" s="191"/>
      <c r="O120" s="125"/>
      <c r="P120" s="130"/>
      <c r="Q120" s="131"/>
    </row>
    <row r="121" spans="1:17" s="4" customFormat="1" ht="36.75" customHeight="1" x14ac:dyDescent="0.2">
      <c r="A121" s="145"/>
      <c r="B121" s="145"/>
      <c r="C121" s="132" t="s">
        <v>44</v>
      </c>
      <c r="D121" s="135" t="s">
        <v>29</v>
      </c>
      <c r="E121" s="97" t="s">
        <v>146</v>
      </c>
      <c r="F121" s="100">
        <v>1</v>
      </c>
      <c r="G121" s="172">
        <v>0.5</v>
      </c>
      <c r="H121" s="36" t="s">
        <v>8</v>
      </c>
      <c r="I121" s="37">
        <v>1</v>
      </c>
      <c r="J121" s="42">
        <v>0.75</v>
      </c>
      <c r="K121" s="42">
        <v>1</v>
      </c>
      <c r="L121" s="160"/>
      <c r="M121" s="162"/>
      <c r="N121" s="192" t="s">
        <v>163</v>
      </c>
      <c r="O121" s="123" t="s">
        <v>20</v>
      </c>
      <c r="P121" s="126"/>
      <c r="Q121" s="127"/>
    </row>
    <row r="122" spans="1:17" s="4" customFormat="1" ht="36.75" customHeight="1" x14ac:dyDescent="0.2">
      <c r="A122" s="145"/>
      <c r="B122" s="145"/>
      <c r="C122" s="133"/>
      <c r="D122" s="136"/>
      <c r="E122" s="98"/>
      <c r="F122" s="100"/>
      <c r="G122" s="173"/>
      <c r="H122" s="36" t="s">
        <v>9</v>
      </c>
      <c r="I122" s="38">
        <f>SUM(J122:M122)</f>
        <v>0.65</v>
      </c>
      <c r="J122" s="56">
        <v>0.65</v>
      </c>
      <c r="K122" s="54" t="s">
        <v>38</v>
      </c>
      <c r="L122" s="163"/>
      <c r="M122" s="165"/>
      <c r="N122" s="190"/>
      <c r="O122" s="124"/>
      <c r="P122" s="128"/>
      <c r="Q122" s="129"/>
    </row>
    <row r="123" spans="1:17" ht="36.75" customHeight="1" x14ac:dyDescent="0.25">
      <c r="A123" s="145"/>
      <c r="B123" s="145"/>
      <c r="C123" s="133"/>
      <c r="D123" s="136"/>
      <c r="E123" s="98"/>
      <c r="F123" s="114" t="s">
        <v>10</v>
      </c>
      <c r="G123" s="115"/>
      <c r="H123" s="36" t="s">
        <v>153</v>
      </c>
      <c r="I123" s="39">
        <f>SUM(J123:M123)</f>
        <v>39217399</v>
      </c>
      <c r="J123" s="53">
        <v>11750747</v>
      </c>
      <c r="K123" s="53">
        <v>27466652</v>
      </c>
      <c r="L123" s="163"/>
      <c r="M123" s="165"/>
      <c r="N123" s="190"/>
      <c r="O123" s="124"/>
      <c r="P123" s="128"/>
      <c r="Q123" s="129"/>
    </row>
    <row r="124" spans="1:17" ht="36.75" customHeight="1" x14ac:dyDescent="0.25">
      <c r="A124" s="145"/>
      <c r="B124" s="145"/>
      <c r="C124" s="133"/>
      <c r="D124" s="136"/>
      <c r="E124" s="98"/>
      <c r="F124" s="116"/>
      <c r="G124" s="117"/>
      <c r="H124" s="36" t="s">
        <v>154</v>
      </c>
      <c r="I124" s="39">
        <f>SUM(J124:K124)</f>
        <v>36643744</v>
      </c>
      <c r="J124" s="57">
        <f>J126</f>
        <v>9177094.5</v>
      </c>
      <c r="K124" s="57">
        <v>27466649.5</v>
      </c>
      <c r="L124" s="163"/>
      <c r="M124" s="165"/>
      <c r="N124" s="190"/>
      <c r="O124" s="124"/>
      <c r="P124" s="128"/>
      <c r="Q124" s="129"/>
    </row>
    <row r="125" spans="1:17" ht="36.75" customHeight="1" x14ac:dyDescent="0.25">
      <c r="A125" s="145"/>
      <c r="B125" s="145"/>
      <c r="C125" s="133"/>
      <c r="D125" s="136"/>
      <c r="E125" s="98"/>
      <c r="F125" s="116"/>
      <c r="G125" s="117"/>
      <c r="H125" s="36" t="s">
        <v>155</v>
      </c>
      <c r="I125" s="40">
        <f>SUM(J125:M125)</f>
        <v>36643744</v>
      </c>
      <c r="J125" s="57">
        <v>36643744</v>
      </c>
      <c r="K125" s="54" t="s">
        <v>39</v>
      </c>
      <c r="L125" s="163"/>
      <c r="M125" s="165"/>
      <c r="N125" s="190"/>
      <c r="O125" s="124"/>
      <c r="P125" s="128"/>
      <c r="Q125" s="129"/>
    </row>
    <row r="126" spans="1:17" ht="36.75" customHeight="1" x14ac:dyDescent="0.25">
      <c r="A126" s="145"/>
      <c r="B126" s="145"/>
      <c r="C126" s="134"/>
      <c r="D126" s="137"/>
      <c r="E126" s="99"/>
      <c r="F126" s="118"/>
      <c r="G126" s="119"/>
      <c r="H126" s="41" t="s">
        <v>11</v>
      </c>
      <c r="I126" s="40">
        <f>SUM(J126:M126)</f>
        <v>9177094.5</v>
      </c>
      <c r="J126" s="57">
        <v>9177094.5</v>
      </c>
      <c r="K126" s="54" t="s">
        <v>40</v>
      </c>
      <c r="L126" s="166"/>
      <c r="M126" s="168"/>
      <c r="N126" s="191"/>
      <c r="O126" s="125"/>
      <c r="P126" s="130"/>
      <c r="Q126" s="131"/>
    </row>
    <row r="127" spans="1:17" s="4" customFormat="1" ht="36.75" customHeight="1" x14ac:dyDescent="0.2">
      <c r="A127" s="145"/>
      <c r="B127" s="145"/>
      <c r="C127" s="132" t="s">
        <v>44</v>
      </c>
      <c r="D127" s="135" t="s">
        <v>31</v>
      </c>
      <c r="E127" s="141" t="s">
        <v>147</v>
      </c>
      <c r="F127" s="100">
        <v>1</v>
      </c>
      <c r="G127" s="172">
        <v>1</v>
      </c>
      <c r="H127" s="36" t="s">
        <v>8</v>
      </c>
      <c r="I127" s="37">
        <v>1</v>
      </c>
      <c r="J127" s="42">
        <v>0.25</v>
      </c>
      <c r="K127" s="56">
        <v>0.5</v>
      </c>
      <c r="L127" s="56">
        <v>0.75</v>
      </c>
      <c r="M127" s="56">
        <v>1</v>
      </c>
      <c r="N127" s="192" t="s">
        <v>197</v>
      </c>
      <c r="O127" s="123" t="s">
        <v>20</v>
      </c>
      <c r="P127" s="123" t="s">
        <v>20</v>
      </c>
      <c r="Q127" s="123" t="s">
        <v>20</v>
      </c>
    </row>
    <row r="128" spans="1:17" s="4" customFormat="1" ht="36.75" customHeight="1" x14ac:dyDescent="0.2">
      <c r="A128" s="145"/>
      <c r="B128" s="145"/>
      <c r="C128" s="133"/>
      <c r="D128" s="136"/>
      <c r="E128" s="142"/>
      <c r="F128" s="100"/>
      <c r="G128" s="173"/>
      <c r="H128" s="36" t="s">
        <v>9</v>
      </c>
      <c r="I128" s="38">
        <f>SUM(J128:M128)</f>
        <v>0.25</v>
      </c>
      <c r="J128" s="56">
        <v>0.25</v>
      </c>
      <c r="K128" s="54" t="s">
        <v>38</v>
      </c>
      <c r="L128" s="54" t="s">
        <v>38</v>
      </c>
      <c r="M128" s="54" t="s">
        <v>38</v>
      </c>
      <c r="N128" s="190"/>
      <c r="O128" s="124"/>
      <c r="P128" s="124"/>
      <c r="Q128" s="124"/>
    </row>
    <row r="129" spans="1:17" ht="36.75" customHeight="1" x14ac:dyDescent="0.25">
      <c r="A129" s="145"/>
      <c r="B129" s="145"/>
      <c r="C129" s="133"/>
      <c r="D129" s="136"/>
      <c r="E129" s="142"/>
      <c r="F129" s="114" t="s">
        <v>10</v>
      </c>
      <c r="G129" s="115"/>
      <c r="H129" s="36" t="s">
        <v>153</v>
      </c>
      <c r="I129" s="39">
        <f>SUM(J129:M129)</f>
        <v>1121823433</v>
      </c>
      <c r="J129" s="53">
        <v>103799913</v>
      </c>
      <c r="K129" s="57">
        <v>211607281</v>
      </c>
      <c r="L129" s="57">
        <v>386223010</v>
      </c>
      <c r="M129" s="57">
        <v>420193229</v>
      </c>
      <c r="N129" s="190"/>
      <c r="O129" s="124"/>
      <c r="P129" s="124"/>
      <c r="Q129" s="124"/>
    </row>
    <row r="130" spans="1:17" ht="36.75" customHeight="1" x14ac:dyDescent="0.25">
      <c r="A130" s="145"/>
      <c r="B130" s="145"/>
      <c r="C130" s="133"/>
      <c r="D130" s="136"/>
      <c r="E130" s="142"/>
      <c r="F130" s="116"/>
      <c r="G130" s="117"/>
      <c r="H130" s="36" t="s">
        <v>154</v>
      </c>
      <c r="I130" s="39">
        <f>SUM(J130:M130)</f>
        <v>1143922229</v>
      </c>
      <c r="J130" s="57">
        <f>53874606+113300431-J124-J118-J112</f>
        <v>93981125.5</v>
      </c>
      <c r="K130" s="57">
        <f>119434631+128212071+128740758-K124-K118-K112</f>
        <v>208304408.5</v>
      </c>
      <c r="L130" s="57">
        <f>128740758*3</f>
        <v>386222274</v>
      </c>
      <c r="M130" s="57">
        <f>128740758+132546655+194127008</f>
        <v>455414421</v>
      </c>
      <c r="N130" s="190"/>
      <c r="O130" s="124"/>
      <c r="P130" s="124"/>
      <c r="Q130" s="124"/>
    </row>
    <row r="131" spans="1:17" ht="36.75" customHeight="1" x14ac:dyDescent="0.25">
      <c r="A131" s="145"/>
      <c r="B131" s="145"/>
      <c r="C131" s="133"/>
      <c r="D131" s="136"/>
      <c r="E131" s="142"/>
      <c r="F131" s="116"/>
      <c r="G131" s="117"/>
      <c r="H131" s="36" t="s">
        <v>155</v>
      </c>
      <c r="I131" s="40">
        <f>SUM(J131:M131)</f>
        <v>1102710816</v>
      </c>
      <c r="J131" s="57">
        <v>1102710816</v>
      </c>
      <c r="K131" s="54" t="s">
        <v>39</v>
      </c>
      <c r="L131" s="54" t="s">
        <v>39</v>
      </c>
      <c r="M131" s="54" t="s">
        <v>39</v>
      </c>
      <c r="N131" s="190"/>
      <c r="O131" s="124"/>
      <c r="P131" s="124"/>
      <c r="Q131" s="124"/>
    </row>
    <row r="132" spans="1:17" ht="36.75" customHeight="1" x14ac:dyDescent="0.25">
      <c r="A132" s="145"/>
      <c r="B132" s="145"/>
      <c r="C132" s="134"/>
      <c r="D132" s="137"/>
      <c r="E132" s="143"/>
      <c r="F132" s="118"/>
      <c r="G132" s="119"/>
      <c r="H132" s="41" t="s">
        <v>11</v>
      </c>
      <c r="I132" s="40">
        <f>SUM(J132:M132)</f>
        <v>82058950</v>
      </c>
      <c r="J132" s="57">
        <v>82058950</v>
      </c>
      <c r="K132" s="54" t="s">
        <v>40</v>
      </c>
      <c r="L132" s="54" t="s">
        <v>40</v>
      </c>
      <c r="M132" s="54" t="s">
        <v>40</v>
      </c>
      <c r="N132" s="191"/>
      <c r="O132" s="125"/>
      <c r="P132" s="125"/>
      <c r="Q132" s="125"/>
    </row>
    <row r="133" spans="1:17" s="15" customFormat="1" x14ac:dyDescent="0.25">
      <c r="A133" s="22"/>
      <c r="B133" s="23"/>
      <c r="C133" s="25"/>
      <c r="D133" s="25"/>
      <c r="E133" s="25"/>
      <c r="F133" s="25"/>
      <c r="G133" s="25"/>
      <c r="H133" s="23"/>
      <c r="I133" s="26"/>
      <c r="J133" s="27"/>
      <c r="K133" s="27"/>
      <c r="L133" s="27"/>
      <c r="M133" s="27"/>
      <c r="N133" s="27"/>
      <c r="O133" s="27"/>
      <c r="P133" s="27"/>
      <c r="Q133" s="25"/>
    </row>
    <row r="134" spans="1:17" ht="25.5" customHeight="1" x14ac:dyDescent="0.25">
      <c r="A134" s="144" t="s">
        <v>33</v>
      </c>
      <c r="B134" s="144"/>
      <c r="C134" s="144"/>
      <c r="D134" s="144"/>
      <c r="E134" s="144"/>
      <c r="F134" s="144"/>
      <c r="G134" s="144"/>
      <c r="H134" s="144"/>
      <c r="I134" s="144"/>
      <c r="J134" s="144"/>
      <c r="K134" s="144"/>
      <c r="L134" s="144"/>
      <c r="M134" s="144"/>
      <c r="N134" s="144"/>
      <c r="O134" s="144"/>
      <c r="P134" s="144"/>
      <c r="Q134" s="144"/>
    </row>
    <row r="135" spans="1:17" ht="36.75" customHeight="1" x14ac:dyDescent="0.25">
      <c r="A135" s="145">
        <v>5</v>
      </c>
      <c r="B135" s="145" t="s">
        <v>26</v>
      </c>
      <c r="C135" s="132" t="s">
        <v>44</v>
      </c>
      <c r="D135" s="135" t="s">
        <v>175</v>
      </c>
      <c r="E135" s="138" t="s">
        <v>148</v>
      </c>
      <c r="F135" s="100">
        <v>1</v>
      </c>
      <c r="G135" s="172">
        <v>1</v>
      </c>
      <c r="H135" s="36" t="s">
        <v>8</v>
      </c>
      <c r="I135" s="43">
        <v>1</v>
      </c>
      <c r="J135" s="44">
        <v>0.25</v>
      </c>
      <c r="K135" s="44">
        <v>0.5</v>
      </c>
      <c r="L135" s="44">
        <v>0.75</v>
      </c>
      <c r="M135" s="44">
        <v>1</v>
      </c>
      <c r="N135" s="189" t="s">
        <v>177</v>
      </c>
      <c r="O135" s="123" t="s">
        <v>20</v>
      </c>
      <c r="P135" s="123" t="s">
        <v>20</v>
      </c>
      <c r="Q135" s="123" t="s">
        <v>20</v>
      </c>
    </row>
    <row r="136" spans="1:17" ht="36.75" customHeight="1" x14ac:dyDescent="0.25">
      <c r="A136" s="145"/>
      <c r="B136" s="145"/>
      <c r="C136" s="133"/>
      <c r="D136" s="136"/>
      <c r="E136" s="139"/>
      <c r="F136" s="100"/>
      <c r="G136" s="173"/>
      <c r="H136" s="36" t="s">
        <v>9</v>
      </c>
      <c r="I136" s="45">
        <f>SUM(J136:M136)</f>
        <v>0.25</v>
      </c>
      <c r="J136" s="44">
        <v>0.25</v>
      </c>
      <c r="K136" s="54" t="s">
        <v>38</v>
      </c>
      <c r="L136" s="54" t="s">
        <v>38</v>
      </c>
      <c r="M136" s="54" t="s">
        <v>38</v>
      </c>
      <c r="N136" s="190"/>
      <c r="O136" s="124"/>
      <c r="P136" s="124"/>
      <c r="Q136" s="124"/>
    </row>
    <row r="137" spans="1:17" ht="36.75" customHeight="1" x14ac:dyDescent="0.25">
      <c r="A137" s="145"/>
      <c r="B137" s="145"/>
      <c r="C137" s="133"/>
      <c r="D137" s="136"/>
      <c r="E137" s="139"/>
      <c r="F137" s="114" t="s">
        <v>10</v>
      </c>
      <c r="G137" s="115"/>
      <c r="H137" s="36" t="s">
        <v>153</v>
      </c>
      <c r="I137" s="39">
        <f>SUM(J137:M137)</f>
        <v>432696000</v>
      </c>
      <c r="J137" s="55">
        <v>0</v>
      </c>
      <c r="K137" s="53">
        <v>129808800</v>
      </c>
      <c r="L137" s="57">
        <v>129808800</v>
      </c>
      <c r="M137" s="53">
        <v>173078400</v>
      </c>
      <c r="N137" s="190"/>
      <c r="O137" s="124"/>
      <c r="P137" s="124"/>
      <c r="Q137" s="124"/>
    </row>
    <row r="138" spans="1:17" ht="36.75" customHeight="1" x14ac:dyDescent="0.25">
      <c r="A138" s="145"/>
      <c r="B138" s="145"/>
      <c r="C138" s="133"/>
      <c r="D138" s="136"/>
      <c r="E138" s="139"/>
      <c r="F138" s="116"/>
      <c r="G138" s="117"/>
      <c r="H138" s="36" t="s">
        <v>154</v>
      </c>
      <c r="I138" s="39">
        <f>SUM(J138:M138)</f>
        <v>432696000</v>
      </c>
      <c r="J138" s="57">
        <v>0</v>
      </c>
      <c r="K138" s="57">
        <f>43269600*3</f>
        <v>129808800</v>
      </c>
      <c r="L138" s="57">
        <f>K138</f>
        <v>129808800</v>
      </c>
      <c r="M138" s="57">
        <f>(43269600*2)+86539200</f>
        <v>173078400</v>
      </c>
      <c r="N138" s="190"/>
      <c r="O138" s="124"/>
      <c r="P138" s="124"/>
      <c r="Q138" s="124"/>
    </row>
    <row r="139" spans="1:17" ht="36.75" customHeight="1" x14ac:dyDescent="0.25">
      <c r="A139" s="145"/>
      <c r="B139" s="145"/>
      <c r="C139" s="133"/>
      <c r="D139" s="136"/>
      <c r="E139" s="139"/>
      <c r="F139" s="116"/>
      <c r="G139" s="117"/>
      <c r="H139" s="36" t="s">
        <v>155</v>
      </c>
      <c r="I139" s="40">
        <f>SUM(J139:M139)</f>
        <v>195708438</v>
      </c>
      <c r="J139" s="55">
        <f>J140</f>
        <v>195708438</v>
      </c>
      <c r="K139" s="54" t="s">
        <v>39</v>
      </c>
      <c r="L139" s="54" t="s">
        <v>39</v>
      </c>
      <c r="M139" s="54" t="s">
        <v>39</v>
      </c>
      <c r="N139" s="190"/>
      <c r="O139" s="124"/>
      <c r="P139" s="124"/>
      <c r="Q139" s="124"/>
    </row>
    <row r="140" spans="1:17" ht="36.75" customHeight="1" x14ac:dyDescent="0.25">
      <c r="A140" s="145"/>
      <c r="B140" s="145"/>
      <c r="C140" s="134"/>
      <c r="D140" s="137"/>
      <c r="E140" s="140"/>
      <c r="F140" s="118"/>
      <c r="G140" s="119"/>
      <c r="H140" s="41" t="s">
        <v>11</v>
      </c>
      <c r="I140" s="40">
        <f>SUM(J140:M140)</f>
        <v>195708438</v>
      </c>
      <c r="J140" s="57">
        <f>6951129+42708286+2265036+11040038+33511400+19837562+30096285+49298702</f>
        <v>195708438</v>
      </c>
      <c r="K140" s="54" t="s">
        <v>40</v>
      </c>
      <c r="L140" s="54" t="s">
        <v>40</v>
      </c>
      <c r="M140" s="54" t="s">
        <v>40</v>
      </c>
      <c r="N140" s="191"/>
      <c r="O140" s="125"/>
      <c r="P140" s="125"/>
      <c r="Q140" s="125"/>
    </row>
    <row r="141" spans="1:17" s="4" customFormat="1" ht="68.25" customHeight="1" x14ac:dyDescent="0.2">
      <c r="A141" s="145"/>
      <c r="B141" s="145"/>
      <c r="C141" s="132" t="s">
        <v>44</v>
      </c>
      <c r="D141" s="135" t="s">
        <v>168</v>
      </c>
      <c r="E141" s="135" t="s">
        <v>149</v>
      </c>
      <c r="F141" s="100">
        <v>1</v>
      </c>
      <c r="G141" s="172">
        <v>1</v>
      </c>
      <c r="H141" s="36" t="s">
        <v>8</v>
      </c>
      <c r="I141" s="37">
        <v>1</v>
      </c>
      <c r="J141" s="42">
        <v>0.25</v>
      </c>
      <c r="K141" s="42">
        <v>0.5</v>
      </c>
      <c r="L141" s="42">
        <v>0.75</v>
      </c>
      <c r="M141" s="42">
        <v>1</v>
      </c>
      <c r="N141" s="189" t="s">
        <v>167</v>
      </c>
      <c r="O141" s="123" t="s">
        <v>20</v>
      </c>
      <c r="P141" s="123" t="s">
        <v>20</v>
      </c>
      <c r="Q141" s="123" t="s">
        <v>20</v>
      </c>
    </row>
    <row r="142" spans="1:17" s="4" customFormat="1" ht="68.25" customHeight="1" x14ac:dyDescent="0.2">
      <c r="A142" s="145"/>
      <c r="B142" s="145"/>
      <c r="C142" s="133"/>
      <c r="D142" s="136"/>
      <c r="E142" s="136"/>
      <c r="F142" s="100"/>
      <c r="G142" s="173"/>
      <c r="H142" s="36" t="s">
        <v>9</v>
      </c>
      <c r="I142" s="38">
        <f>SUM(J142:M142)</f>
        <v>0.25</v>
      </c>
      <c r="J142" s="56">
        <v>0.25</v>
      </c>
      <c r="K142" s="54" t="s">
        <v>38</v>
      </c>
      <c r="L142" s="54" t="s">
        <v>38</v>
      </c>
      <c r="M142" s="54" t="s">
        <v>38</v>
      </c>
      <c r="N142" s="190"/>
      <c r="O142" s="124"/>
      <c r="P142" s="124"/>
      <c r="Q142" s="124"/>
    </row>
    <row r="143" spans="1:17" ht="68.25" customHeight="1" x14ac:dyDescent="0.25">
      <c r="A143" s="145"/>
      <c r="B143" s="145"/>
      <c r="C143" s="133"/>
      <c r="D143" s="136"/>
      <c r="E143" s="136"/>
      <c r="F143" s="114" t="s">
        <v>10</v>
      </c>
      <c r="G143" s="115"/>
      <c r="H143" s="36" t="s">
        <v>153</v>
      </c>
      <c r="I143" s="39">
        <f>SUM(J143:M143)</f>
        <v>54720000</v>
      </c>
      <c r="J143" s="53">
        <v>7137285</v>
      </c>
      <c r="K143" s="53">
        <v>14274570</v>
      </c>
      <c r="L143" s="57">
        <v>14274570</v>
      </c>
      <c r="M143" s="53">
        <v>19033575</v>
      </c>
      <c r="N143" s="190"/>
      <c r="O143" s="124"/>
      <c r="P143" s="124"/>
      <c r="Q143" s="124"/>
    </row>
    <row r="144" spans="1:17" ht="68.25" customHeight="1" x14ac:dyDescent="0.25">
      <c r="A144" s="145"/>
      <c r="B144" s="145"/>
      <c r="C144" s="133"/>
      <c r="D144" s="136"/>
      <c r="E144" s="136"/>
      <c r="F144" s="116"/>
      <c r="G144" s="117"/>
      <c r="H144" s="36" t="s">
        <v>154</v>
      </c>
      <c r="I144" s="39">
        <f>SUM(J144:M144)</f>
        <v>54719185</v>
      </c>
      <c r="J144" s="57">
        <f>2379095+4758190</f>
        <v>7137285</v>
      </c>
      <c r="K144" s="57">
        <f>4758190*3</f>
        <v>14274570</v>
      </c>
      <c r="L144" s="57">
        <f>K144</f>
        <v>14274570</v>
      </c>
      <c r="M144" s="57">
        <f>(4758190*2)+9516380</f>
        <v>19032760</v>
      </c>
      <c r="N144" s="190"/>
      <c r="O144" s="124"/>
      <c r="P144" s="124"/>
      <c r="Q144" s="124"/>
    </row>
    <row r="145" spans="1:17" ht="68.25" customHeight="1" x14ac:dyDescent="0.25">
      <c r="A145" s="145"/>
      <c r="B145" s="145"/>
      <c r="C145" s="133"/>
      <c r="D145" s="136"/>
      <c r="E145" s="136"/>
      <c r="F145" s="116"/>
      <c r="G145" s="117"/>
      <c r="H145" s="36" t="s">
        <v>155</v>
      </c>
      <c r="I145" s="40">
        <f>SUM(J145:M145)</f>
        <v>54719185</v>
      </c>
      <c r="J145" s="57">
        <v>54719185</v>
      </c>
      <c r="K145" s="54" t="s">
        <v>39</v>
      </c>
      <c r="L145" s="54" t="s">
        <v>39</v>
      </c>
      <c r="M145" s="54" t="s">
        <v>39</v>
      </c>
      <c r="N145" s="190"/>
      <c r="O145" s="124"/>
      <c r="P145" s="124"/>
      <c r="Q145" s="124"/>
    </row>
    <row r="146" spans="1:17" ht="68.25" customHeight="1" x14ac:dyDescent="0.25">
      <c r="A146" s="145"/>
      <c r="B146" s="145"/>
      <c r="C146" s="134"/>
      <c r="D146" s="137"/>
      <c r="E146" s="137"/>
      <c r="F146" s="118"/>
      <c r="G146" s="119"/>
      <c r="H146" s="41" t="s">
        <v>11</v>
      </c>
      <c r="I146" s="40">
        <f>SUM(J146:M146)</f>
        <v>7454498</v>
      </c>
      <c r="J146" s="57">
        <v>7454498</v>
      </c>
      <c r="K146" s="54" t="s">
        <v>40</v>
      </c>
      <c r="L146" s="54" t="s">
        <v>40</v>
      </c>
      <c r="M146" s="54" t="s">
        <v>40</v>
      </c>
      <c r="N146" s="191"/>
      <c r="O146" s="125"/>
      <c r="P146" s="125"/>
      <c r="Q146" s="125"/>
    </row>
    <row r="147" spans="1:17" s="4" customFormat="1" ht="46.5" customHeight="1" x14ac:dyDescent="0.2">
      <c r="A147" s="145"/>
      <c r="B147" s="145"/>
      <c r="C147" s="132" t="s">
        <v>44</v>
      </c>
      <c r="D147" s="135" t="s">
        <v>169</v>
      </c>
      <c r="E147" s="135" t="s">
        <v>150</v>
      </c>
      <c r="F147" s="100">
        <v>1</v>
      </c>
      <c r="G147" s="172">
        <v>1</v>
      </c>
      <c r="H147" s="36" t="s">
        <v>8</v>
      </c>
      <c r="I147" s="37">
        <v>1</v>
      </c>
      <c r="J147" s="42">
        <v>0.25</v>
      </c>
      <c r="K147" s="42">
        <v>0.5</v>
      </c>
      <c r="L147" s="42">
        <v>0.75</v>
      </c>
      <c r="M147" s="42">
        <v>1</v>
      </c>
      <c r="N147" s="189" t="s">
        <v>170</v>
      </c>
      <c r="O147" s="123" t="s">
        <v>20</v>
      </c>
      <c r="P147" s="123" t="s">
        <v>20</v>
      </c>
      <c r="Q147" s="123" t="s">
        <v>20</v>
      </c>
    </row>
    <row r="148" spans="1:17" s="4" customFormat="1" ht="46.5" customHeight="1" x14ac:dyDescent="0.2">
      <c r="A148" s="145"/>
      <c r="B148" s="145"/>
      <c r="C148" s="133"/>
      <c r="D148" s="136"/>
      <c r="E148" s="136"/>
      <c r="F148" s="100"/>
      <c r="G148" s="173"/>
      <c r="H148" s="36" t="s">
        <v>9</v>
      </c>
      <c r="I148" s="38">
        <f>SUM(J148:M148)</f>
        <v>0.25</v>
      </c>
      <c r="J148" s="56">
        <v>0.25</v>
      </c>
      <c r="K148" s="54" t="s">
        <v>38</v>
      </c>
      <c r="L148" s="54" t="s">
        <v>38</v>
      </c>
      <c r="M148" s="54" t="s">
        <v>38</v>
      </c>
      <c r="N148" s="190"/>
      <c r="O148" s="124"/>
      <c r="P148" s="124"/>
      <c r="Q148" s="124"/>
    </row>
    <row r="149" spans="1:17" ht="46.5" customHeight="1" x14ac:dyDescent="0.25">
      <c r="A149" s="145"/>
      <c r="B149" s="145"/>
      <c r="C149" s="133"/>
      <c r="D149" s="136"/>
      <c r="E149" s="136"/>
      <c r="F149" s="114" t="s">
        <v>10</v>
      </c>
      <c r="G149" s="115"/>
      <c r="H149" s="36" t="s">
        <v>153</v>
      </c>
      <c r="I149" s="39">
        <f>SUM(J149:M149)</f>
        <v>97674000</v>
      </c>
      <c r="J149" s="53">
        <v>12740053</v>
      </c>
      <c r="K149" s="53">
        <v>25480107</v>
      </c>
      <c r="L149" s="57">
        <v>25480107</v>
      </c>
      <c r="M149" s="53">
        <v>33973733</v>
      </c>
      <c r="N149" s="190"/>
      <c r="O149" s="124"/>
      <c r="P149" s="124"/>
      <c r="Q149" s="124"/>
    </row>
    <row r="150" spans="1:17" ht="46.5" customHeight="1" x14ac:dyDescent="0.25">
      <c r="A150" s="145"/>
      <c r="B150" s="145"/>
      <c r="C150" s="133"/>
      <c r="D150" s="136"/>
      <c r="E150" s="136"/>
      <c r="F150" s="116"/>
      <c r="G150" s="117"/>
      <c r="H150" s="36" t="s">
        <v>154</v>
      </c>
      <c r="I150" s="39">
        <f>SUM(J150:M150)</f>
        <v>82078778</v>
      </c>
      <c r="J150" s="57">
        <f>4246684+8493369</f>
        <v>12740053</v>
      </c>
      <c r="K150" s="57">
        <f>8493369*3</f>
        <v>25480107</v>
      </c>
      <c r="L150" s="57">
        <f>K150</f>
        <v>25480107</v>
      </c>
      <c r="M150" s="57">
        <f>(8493369*2)+1391773</f>
        <v>18378511</v>
      </c>
      <c r="N150" s="190"/>
      <c r="O150" s="124"/>
      <c r="P150" s="124"/>
      <c r="Q150" s="124"/>
    </row>
    <row r="151" spans="1:17" ht="46.5" customHeight="1" x14ac:dyDescent="0.25">
      <c r="A151" s="145"/>
      <c r="B151" s="145"/>
      <c r="C151" s="133"/>
      <c r="D151" s="136"/>
      <c r="E151" s="136"/>
      <c r="F151" s="116"/>
      <c r="G151" s="117"/>
      <c r="H151" s="36" t="s">
        <v>155</v>
      </c>
      <c r="I151" s="40">
        <f>SUM(J151:M151)</f>
        <v>82078778</v>
      </c>
      <c r="J151" s="57">
        <v>82078778</v>
      </c>
      <c r="K151" s="54" t="s">
        <v>39</v>
      </c>
      <c r="L151" s="54" t="s">
        <v>39</v>
      </c>
      <c r="M151" s="54" t="s">
        <v>39</v>
      </c>
      <c r="N151" s="190"/>
      <c r="O151" s="124"/>
      <c r="P151" s="124"/>
      <c r="Q151" s="124"/>
    </row>
    <row r="152" spans="1:17" ht="46.5" customHeight="1" x14ac:dyDescent="0.25">
      <c r="A152" s="145"/>
      <c r="B152" s="145"/>
      <c r="C152" s="134"/>
      <c r="D152" s="137"/>
      <c r="E152" s="137"/>
      <c r="F152" s="118"/>
      <c r="G152" s="119"/>
      <c r="H152" s="41" t="s">
        <v>11</v>
      </c>
      <c r="I152" s="40">
        <f>SUM(J152:M152)</f>
        <v>18772910</v>
      </c>
      <c r="J152" s="57">
        <v>18772910</v>
      </c>
      <c r="K152" s="54" t="s">
        <v>40</v>
      </c>
      <c r="L152" s="54" t="s">
        <v>40</v>
      </c>
      <c r="M152" s="54" t="s">
        <v>40</v>
      </c>
      <c r="N152" s="191"/>
      <c r="O152" s="125"/>
      <c r="P152" s="125"/>
      <c r="Q152" s="125"/>
    </row>
    <row r="153" spans="1:17" s="52" customFormat="1" x14ac:dyDescent="0.25">
      <c r="A153" s="47"/>
      <c r="B153" s="47"/>
      <c r="C153" s="47"/>
      <c r="D153" s="47"/>
      <c r="E153" s="61"/>
      <c r="F153" s="48"/>
      <c r="G153" s="48"/>
      <c r="H153" s="49"/>
      <c r="I153" s="50"/>
      <c r="J153" s="51"/>
      <c r="K153" s="51"/>
      <c r="L153" s="51"/>
      <c r="M153" s="51"/>
      <c r="N153" s="46"/>
      <c r="O153" s="46"/>
      <c r="P153" s="46"/>
      <c r="Q153" s="46"/>
    </row>
    <row r="154" spans="1:17" ht="21.75" customHeight="1" x14ac:dyDescent="0.25">
      <c r="A154" s="16"/>
      <c r="B154" s="28" t="s">
        <v>14</v>
      </c>
      <c r="C154" s="29" t="s">
        <v>41</v>
      </c>
      <c r="D154" s="29"/>
      <c r="E154" s="96"/>
      <c r="F154" s="28"/>
      <c r="G154" s="28"/>
      <c r="H154" s="28"/>
      <c r="I154" s="30"/>
      <c r="J154" s="28" t="s">
        <v>15</v>
      </c>
      <c r="K154" s="29" t="s">
        <v>42</v>
      </c>
      <c r="L154" s="29"/>
      <c r="M154" s="29"/>
      <c r="N154" s="29"/>
      <c r="O154" s="29"/>
      <c r="P154" s="29"/>
      <c r="Q154" s="29"/>
    </row>
    <row r="155" spans="1:17" ht="36.75" customHeight="1" x14ac:dyDescent="0.25">
      <c r="A155" s="16"/>
      <c r="B155" s="28" t="s">
        <v>13</v>
      </c>
      <c r="C155" s="29" t="s">
        <v>43</v>
      </c>
      <c r="D155" s="29"/>
      <c r="E155" s="96"/>
      <c r="F155" s="31" t="s">
        <v>12</v>
      </c>
      <c r="G155" s="175" t="s">
        <v>203</v>
      </c>
      <c r="H155" s="175"/>
      <c r="I155" s="28"/>
      <c r="J155" s="28" t="s">
        <v>16</v>
      </c>
      <c r="K155" s="29" t="s">
        <v>43</v>
      </c>
      <c r="L155" s="29"/>
      <c r="M155" s="29"/>
      <c r="N155" s="29"/>
      <c r="O155" s="29"/>
      <c r="P155" s="29"/>
      <c r="Q155" s="29"/>
    </row>
    <row r="156" spans="1:17" ht="15.75" x14ac:dyDescent="0.25">
      <c r="A156" s="16"/>
      <c r="B156" s="28"/>
      <c r="C156" s="28"/>
      <c r="D156" s="28"/>
      <c r="E156" s="28"/>
      <c r="F156" s="28"/>
      <c r="G156" s="28"/>
      <c r="H156" s="28"/>
      <c r="I156" s="32"/>
      <c r="J156" s="28"/>
      <c r="K156" s="28"/>
      <c r="L156" s="28"/>
      <c r="M156" s="28"/>
      <c r="N156" s="28"/>
      <c r="O156" s="28"/>
      <c r="P156" s="28"/>
      <c r="Q156" s="28"/>
    </row>
    <row r="157" spans="1:17" x14ac:dyDescent="0.25">
      <c r="A157" s="16"/>
      <c r="B157" s="17"/>
      <c r="C157" s="18"/>
      <c r="D157" s="19"/>
      <c r="E157" s="19"/>
      <c r="F157" s="19"/>
      <c r="G157" s="19"/>
      <c r="H157" s="19"/>
      <c r="I157" s="33"/>
      <c r="J157" s="17"/>
      <c r="K157" s="17"/>
      <c r="L157" s="17"/>
      <c r="M157" s="17"/>
      <c r="N157" s="17"/>
      <c r="O157" s="17"/>
      <c r="P157" s="17"/>
      <c r="Q157" s="17"/>
    </row>
    <row r="158" spans="1:17" x14ac:dyDescent="0.25">
      <c r="A158" s="16"/>
      <c r="B158" s="17"/>
      <c r="C158" s="18"/>
      <c r="D158" s="19"/>
      <c r="E158" s="19"/>
      <c r="F158" s="19"/>
      <c r="G158" s="19"/>
      <c r="H158" s="17"/>
      <c r="I158" s="20"/>
      <c r="J158" s="17"/>
      <c r="K158" s="17"/>
      <c r="L158" s="17"/>
      <c r="M158" s="17"/>
      <c r="N158" s="17"/>
      <c r="O158" s="17"/>
      <c r="P158" s="17"/>
      <c r="Q158" s="17"/>
    </row>
    <row r="159" spans="1:17" x14ac:dyDescent="0.25">
      <c r="A159" s="16"/>
      <c r="B159" s="17"/>
      <c r="C159" s="18"/>
      <c r="D159" s="19"/>
      <c r="E159" s="19"/>
      <c r="F159" s="19"/>
      <c r="G159" s="19"/>
      <c r="H159" s="17"/>
      <c r="I159" s="20"/>
      <c r="J159" s="17"/>
      <c r="K159" s="17"/>
      <c r="L159" s="17"/>
      <c r="M159" s="17"/>
      <c r="N159" s="17"/>
      <c r="O159" s="17"/>
      <c r="P159" s="17"/>
      <c r="Q159" s="17"/>
    </row>
    <row r="160" spans="1:17" x14ac:dyDescent="0.25">
      <c r="A160" s="16"/>
      <c r="B160" s="17"/>
      <c r="C160" s="18"/>
      <c r="D160" s="19"/>
      <c r="E160" s="19"/>
      <c r="F160" s="19"/>
      <c r="G160" s="19"/>
      <c r="H160" s="17"/>
      <c r="I160" s="20"/>
      <c r="J160" s="21"/>
      <c r="K160" s="21"/>
      <c r="L160" s="21"/>
      <c r="M160" s="21"/>
      <c r="N160" s="21"/>
      <c r="O160" s="21"/>
      <c r="P160" s="21"/>
      <c r="Q160" s="19"/>
    </row>
    <row r="161" spans="12:16" x14ac:dyDescent="0.25">
      <c r="L161" s="7"/>
      <c r="M161" s="7"/>
      <c r="N161" s="7"/>
      <c r="O161" s="7"/>
      <c r="P161" s="7"/>
    </row>
    <row r="162" spans="12:16" x14ac:dyDescent="0.25">
      <c r="L162" s="7"/>
      <c r="M162" s="7"/>
      <c r="N162" s="7"/>
      <c r="O162" s="7"/>
      <c r="P162" s="7"/>
    </row>
    <row r="163" spans="12:16" x14ac:dyDescent="0.25">
      <c r="L163" s="7"/>
      <c r="M163" s="7"/>
      <c r="N163" s="7"/>
      <c r="O163" s="7"/>
      <c r="P163" s="7"/>
    </row>
    <row r="164" spans="12:16" x14ac:dyDescent="0.25">
      <c r="L164" s="7"/>
      <c r="M164" s="7"/>
      <c r="N164" s="7"/>
      <c r="O164" s="7"/>
      <c r="P164" s="7"/>
    </row>
    <row r="165" spans="12:16" x14ac:dyDescent="0.25">
      <c r="L165" s="7"/>
      <c r="M165" s="7"/>
      <c r="N165" s="7"/>
      <c r="O165" s="7"/>
      <c r="P165" s="7"/>
    </row>
    <row r="166" spans="12:16" x14ac:dyDescent="0.25">
      <c r="L166" s="7"/>
      <c r="M166" s="7"/>
      <c r="N166" s="7"/>
      <c r="O166" s="7"/>
      <c r="P166" s="7"/>
    </row>
    <row r="167" spans="12:16" x14ac:dyDescent="0.25">
      <c r="L167" s="7"/>
      <c r="M167" s="7"/>
      <c r="N167" s="7"/>
      <c r="O167" s="7"/>
      <c r="P167" s="7"/>
    </row>
    <row r="168" spans="12:16" x14ac:dyDescent="0.25">
      <c r="L168" s="7"/>
      <c r="M168" s="7"/>
      <c r="N168" s="7"/>
      <c r="O168" s="7"/>
      <c r="P168" s="7"/>
    </row>
    <row r="169" spans="12:16" x14ac:dyDescent="0.25">
      <c r="L169" s="7"/>
      <c r="M169" s="7"/>
      <c r="N169" s="7"/>
      <c r="O169" s="7"/>
      <c r="P169" s="7"/>
    </row>
    <row r="170" spans="12:16" x14ac:dyDescent="0.25">
      <c r="L170" s="7"/>
      <c r="M170" s="7"/>
      <c r="N170" s="7"/>
      <c r="O170" s="7"/>
      <c r="P170" s="7"/>
    </row>
    <row r="171" spans="12:16" x14ac:dyDescent="0.25">
      <c r="L171" s="7"/>
      <c r="M171" s="7"/>
      <c r="N171" s="7"/>
      <c r="O171" s="7"/>
      <c r="P171" s="7"/>
    </row>
    <row r="172" spans="12:16" x14ac:dyDescent="0.25">
      <c r="L172" s="7"/>
      <c r="M172" s="7"/>
      <c r="N172" s="7"/>
      <c r="O172" s="7"/>
      <c r="P172" s="7"/>
    </row>
    <row r="173" spans="12:16" x14ac:dyDescent="0.25">
      <c r="L173" s="7"/>
      <c r="M173" s="7"/>
      <c r="N173" s="7"/>
      <c r="O173" s="7"/>
      <c r="P173" s="7"/>
    </row>
    <row r="174" spans="12:16" x14ac:dyDescent="0.25">
      <c r="L174" s="7"/>
      <c r="M174" s="7"/>
      <c r="N174" s="7"/>
      <c r="O174" s="7"/>
      <c r="P174" s="7"/>
    </row>
    <row r="175" spans="12:16" x14ac:dyDescent="0.25">
      <c r="L175" s="7"/>
      <c r="M175" s="7"/>
      <c r="N175" s="7"/>
      <c r="O175" s="7"/>
      <c r="P175" s="7"/>
    </row>
    <row r="176" spans="12:16" x14ac:dyDescent="0.25">
      <c r="L176" s="7"/>
      <c r="M176" s="7"/>
      <c r="N176" s="7"/>
      <c r="O176" s="7"/>
      <c r="P176" s="7"/>
    </row>
    <row r="177" spans="12:16" x14ac:dyDescent="0.25">
      <c r="L177" s="7"/>
      <c r="M177" s="7"/>
      <c r="N177" s="7"/>
      <c r="O177" s="7"/>
      <c r="P177" s="7"/>
    </row>
    <row r="178" spans="12:16" x14ac:dyDescent="0.25">
      <c r="L178" s="7"/>
      <c r="M178" s="7"/>
      <c r="N178" s="7"/>
      <c r="O178" s="7"/>
      <c r="P178" s="7"/>
    </row>
    <row r="179" spans="12:16" x14ac:dyDescent="0.25">
      <c r="L179" s="7"/>
      <c r="M179" s="7"/>
      <c r="N179" s="7"/>
      <c r="O179" s="7"/>
      <c r="P179" s="7"/>
    </row>
    <row r="180" spans="12:16" x14ac:dyDescent="0.25">
      <c r="L180" s="7"/>
      <c r="M180" s="7"/>
      <c r="N180" s="7"/>
      <c r="O180" s="7"/>
      <c r="P180" s="7"/>
    </row>
    <row r="181" spans="12:16" x14ac:dyDescent="0.25">
      <c r="L181" s="7"/>
      <c r="M181" s="7"/>
      <c r="N181" s="7"/>
      <c r="O181" s="7"/>
      <c r="P181" s="7"/>
    </row>
    <row r="182" spans="12:16" x14ac:dyDescent="0.25">
      <c r="L182" s="7"/>
      <c r="M182" s="7"/>
      <c r="N182" s="7"/>
      <c r="O182" s="7"/>
      <c r="P182" s="7"/>
    </row>
    <row r="183" spans="12:16" x14ac:dyDescent="0.25">
      <c r="L183" s="7"/>
      <c r="M183" s="7"/>
      <c r="N183" s="7"/>
      <c r="O183" s="7"/>
      <c r="P183" s="7"/>
    </row>
    <row r="184" spans="12:16" x14ac:dyDescent="0.25">
      <c r="L184" s="7"/>
      <c r="M184" s="7"/>
      <c r="N184" s="7"/>
      <c r="O184" s="7"/>
      <c r="P184" s="7"/>
    </row>
  </sheetData>
  <mergeCells count="252">
    <mergeCell ref="A33:A68"/>
    <mergeCell ref="B33:B68"/>
    <mergeCell ref="F89:F90"/>
    <mergeCell ref="G89:G90"/>
    <mergeCell ref="N89:N94"/>
    <mergeCell ref="O89:Q94"/>
    <mergeCell ref="P95:P100"/>
    <mergeCell ref="F77:F78"/>
    <mergeCell ref="G77:G78"/>
    <mergeCell ref="N77:N82"/>
    <mergeCell ref="F79:G82"/>
    <mergeCell ref="C89:C94"/>
    <mergeCell ref="D89:D94"/>
    <mergeCell ref="O71:Q76"/>
    <mergeCell ref="C71:C76"/>
    <mergeCell ref="D71:D76"/>
    <mergeCell ref="F71:F72"/>
    <mergeCell ref="F73:G76"/>
    <mergeCell ref="K71:M76"/>
    <mergeCell ref="N71:N76"/>
    <mergeCell ref="G71:G72"/>
    <mergeCell ref="C77:C82"/>
    <mergeCell ref="C95:C100"/>
    <mergeCell ref="D95:D100"/>
    <mergeCell ref="A71:A106"/>
    <mergeCell ref="B71:B106"/>
    <mergeCell ref="F95:F96"/>
    <mergeCell ref="G95:G96"/>
    <mergeCell ref="N95:N100"/>
    <mergeCell ref="F97:G100"/>
    <mergeCell ref="M95:M100"/>
    <mergeCell ref="O95:O100"/>
    <mergeCell ref="C101:C106"/>
    <mergeCell ref="D101:D106"/>
    <mergeCell ref="F101:F102"/>
    <mergeCell ref="G101:G102"/>
    <mergeCell ref="N101:N106"/>
    <mergeCell ref="O101:Q106"/>
    <mergeCell ref="F103:G106"/>
    <mergeCell ref="Q95:Q100"/>
    <mergeCell ref="F91:G94"/>
    <mergeCell ref="K89:M94"/>
    <mergeCell ref="O77:O82"/>
    <mergeCell ref="P77:P82"/>
    <mergeCell ref="Q77:Q82"/>
    <mergeCell ref="L101:M106"/>
    <mergeCell ref="D45:D50"/>
    <mergeCell ref="F45:F46"/>
    <mergeCell ref="G45:G46"/>
    <mergeCell ref="L45:M50"/>
    <mergeCell ref="N45:N50"/>
    <mergeCell ref="O45:O50"/>
    <mergeCell ref="P45:Q50"/>
    <mergeCell ref="F47:G50"/>
    <mergeCell ref="G51:G52"/>
    <mergeCell ref="C51:C56"/>
    <mergeCell ref="D51:D56"/>
    <mergeCell ref="F51:F52"/>
    <mergeCell ref="D127:D132"/>
    <mergeCell ref="C121:C126"/>
    <mergeCell ref="P63:Q68"/>
    <mergeCell ref="N33:N38"/>
    <mergeCell ref="O33:Q38"/>
    <mergeCell ref="F35:G38"/>
    <mergeCell ref="C39:C44"/>
    <mergeCell ref="D39:D44"/>
    <mergeCell ref="F39:F40"/>
    <mergeCell ref="G39:G40"/>
    <mergeCell ref="N39:N44"/>
    <mergeCell ref="F41:G44"/>
    <mergeCell ref="L39:M44"/>
    <mergeCell ref="C63:C68"/>
    <mergeCell ref="D63:D68"/>
    <mergeCell ref="F63:F64"/>
    <mergeCell ref="G63:G64"/>
    <mergeCell ref="N63:N68"/>
    <mergeCell ref="F65:G68"/>
    <mergeCell ref="L51:M56"/>
    <mergeCell ref="C45:C50"/>
    <mergeCell ref="D109:D114"/>
    <mergeCell ref="N51:N56"/>
    <mergeCell ref="O51:O56"/>
    <mergeCell ref="P51:Q56"/>
    <mergeCell ref="G155:H155"/>
    <mergeCell ref="Q147:Q152"/>
    <mergeCell ref="N127:N132"/>
    <mergeCell ref="O141:O146"/>
    <mergeCell ref="P141:P146"/>
    <mergeCell ref="Q141:Q146"/>
    <mergeCell ref="O147:O152"/>
    <mergeCell ref="P147:P152"/>
    <mergeCell ref="N135:N140"/>
    <mergeCell ref="G135:G136"/>
    <mergeCell ref="A70:Q70"/>
    <mergeCell ref="C135:C140"/>
    <mergeCell ref="D135:D140"/>
    <mergeCell ref="F135:F136"/>
    <mergeCell ref="C127:C132"/>
    <mergeCell ref="C57:C62"/>
    <mergeCell ref="D57:D62"/>
    <mergeCell ref="E57:E62"/>
    <mergeCell ref="F57:F58"/>
    <mergeCell ref="G57:G58"/>
    <mergeCell ref="O109:O114"/>
    <mergeCell ref="N115:N120"/>
    <mergeCell ref="O115:O120"/>
    <mergeCell ref="N121:N126"/>
    <mergeCell ref="O121:O126"/>
    <mergeCell ref="O135:O140"/>
    <mergeCell ref="P135:P140"/>
    <mergeCell ref="Q135:Q140"/>
    <mergeCell ref="G109:G110"/>
    <mergeCell ref="F111:G114"/>
    <mergeCell ref="F129:G132"/>
    <mergeCell ref="F127:F128"/>
    <mergeCell ref="G127:G128"/>
    <mergeCell ref="F115:F116"/>
    <mergeCell ref="G115:G116"/>
    <mergeCell ref="P109:Q114"/>
    <mergeCell ref="P115:Q120"/>
    <mergeCell ref="O127:O132"/>
    <mergeCell ref="P127:P132"/>
    <mergeCell ref="Q127:Q132"/>
    <mergeCell ref="P121:Q126"/>
    <mergeCell ref="D121:D126"/>
    <mergeCell ref="D141:D146"/>
    <mergeCell ref="F141:F142"/>
    <mergeCell ref="G141:G142"/>
    <mergeCell ref="N141:N146"/>
    <mergeCell ref="L109:M114"/>
    <mergeCell ref="L115:M120"/>
    <mergeCell ref="F137:G140"/>
    <mergeCell ref="F123:G126"/>
    <mergeCell ref="F121:F122"/>
    <mergeCell ref="G121:G122"/>
    <mergeCell ref="F117:G120"/>
    <mergeCell ref="L121:M126"/>
    <mergeCell ref="A134:Q134"/>
    <mergeCell ref="A135:A152"/>
    <mergeCell ref="B135:B152"/>
    <mergeCell ref="F149:G152"/>
    <mergeCell ref="C147:C152"/>
    <mergeCell ref="D147:D152"/>
    <mergeCell ref="F147:F148"/>
    <mergeCell ref="G147:G148"/>
    <mergeCell ref="N147:N152"/>
    <mergeCell ref="F143:G146"/>
    <mergeCell ref="C141:C146"/>
    <mergeCell ref="A32:Q32"/>
    <mergeCell ref="C33:C38"/>
    <mergeCell ref="D33:D38"/>
    <mergeCell ref="F33:F34"/>
    <mergeCell ref="G33:G34"/>
    <mergeCell ref="K33:M38"/>
    <mergeCell ref="F21:G24"/>
    <mergeCell ref="K19:M24"/>
    <mergeCell ref="O19:Q24"/>
    <mergeCell ref="E19:E24"/>
    <mergeCell ref="E25:E30"/>
    <mergeCell ref="E33:E38"/>
    <mergeCell ref="A7:A30"/>
    <mergeCell ref="B7:B30"/>
    <mergeCell ref="N25:N30"/>
    <mergeCell ref="O25:O30"/>
    <mergeCell ref="P25:P30"/>
    <mergeCell ref="Q25:Q30"/>
    <mergeCell ref="D13:D18"/>
    <mergeCell ref="C13:C18"/>
    <mergeCell ref="F27:G30"/>
    <mergeCell ref="F15:G18"/>
    <mergeCell ref="P7:P12"/>
    <mergeCell ref="C7:C12"/>
    <mergeCell ref="O13:O18"/>
    <mergeCell ref="P13:P18"/>
    <mergeCell ref="Q13:Q18"/>
    <mergeCell ref="D25:D30"/>
    <mergeCell ref="C25:C30"/>
    <mergeCell ref="O7:O12"/>
    <mergeCell ref="C19:C24"/>
    <mergeCell ref="D19:D24"/>
    <mergeCell ref="F19:F20"/>
    <mergeCell ref="G19:G20"/>
    <mergeCell ref="N19:N24"/>
    <mergeCell ref="F9:G12"/>
    <mergeCell ref="D7:D12"/>
    <mergeCell ref="E7:E12"/>
    <mergeCell ref="E13:E18"/>
    <mergeCell ref="F109:F110"/>
    <mergeCell ref="A1:Q1"/>
    <mergeCell ref="A3:A4"/>
    <mergeCell ref="B3:B4"/>
    <mergeCell ref="C3:C4"/>
    <mergeCell ref="D3:D4"/>
    <mergeCell ref="F3:F4"/>
    <mergeCell ref="G3:G4"/>
    <mergeCell ref="H3:M3"/>
    <mergeCell ref="H4:I4"/>
    <mergeCell ref="E3:E4"/>
    <mergeCell ref="O39:O44"/>
    <mergeCell ref="P39:Q44"/>
    <mergeCell ref="F53:G56"/>
    <mergeCell ref="A6:Q6"/>
    <mergeCell ref="F25:F26"/>
    <mergeCell ref="G25:G26"/>
    <mergeCell ref="F7:F8"/>
    <mergeCell ref="G7:G8"/>
    <mergeCell ref="F13:F14"/>
    <mergeCell ref="G13:G14"/>
    <mergeCell ref="N7:N12"/>
    <mergeCell ref="Q7:Q12"/>
    <mergeCell ref="N13:N18"/>
    <mergeCell ref="C83:C88"/>
    <mergeCell ref="E39:E44"/>
    <mergeCell ref="E45:E50"/>
    <mergeCell ref="E51:E56"/>
    <mergeCell ref="E63:E68"/>
    <mergeCell ref="E141:E146"/>
    <mergeCell ref="E147:E152"/>
    <mergeCell ref="E71:E76"/>
    <mergeCell ref="E77:E82"/>
    <mergeCell ref="E89:E94"/>
    <mergeCell ref="E95:E100"/>
    <mergeCell ref="E101:E106"/>
    <mergeCell ref="E109:E114"/>
    <mergeCell ref="E115:E120"/>
    <mergeCell ref="E121:E126"/>
    <mergeCell ref="E127:E132"/>
    <mergeCell ref="E135:E140"/>
    <mergeCell ref="A108:Q108"/>
    <mergeCell ref="N109:N114"/>
    <mergeCell ref="C115:C120"/>
    <mergeCell ref="D115:D120"/>
    <mergeCell ref="A109:A132"/>
    <mergeCell ref="B109:B132"/>
    <mergeCell ref="C109:C114"/>
    <mergeCell ref="D83:D88"/>
    <mergeCell ref="E83:E88"/>
    <mergeCell ref="F83:F84"/>
    <mergeCell ref="G83:G84"/>
    <mergeCell ref="N83:N88"/>
    <mergeCell ref="O83:Q88"/>
    <mergeCell ref="F85:G88"/>
    <mergeCell ref="M83:M88"/>
    <mergeCell ref="N57:N62"/>
    <mergeCell ref="O57:O62"/>
    <mergeCell ref="P57:Q62"/>
    <mergeCell ref="F59:G62"/>
    <mergeCell ref="M63:M68"/>
    <mergeCell ref="D77:D82"/>
    <mergeCell ref="K77:M82"/>
    <mergeCell ref="L57:M62"/>
    <mergeCell ref="O63:O68"/>
  </mergeCells>
  <hyperlinks>
    <hyperlink ref="E13:E18" location="MSPI!A1" display="MSPI!A1" xr:uid="{882C9E00-B49C-4123-936C-66A9FA35E570}"/>
    <hyperlink ref="E19:E24" location="MSPI!A1" display="MSPI!A1" xr:uid="{131CD96D-FD14-4B4E-8C07-9BCEB71FE518}"/>
    <hyperlink ref="E127:E132" location="OptimizarSI!A1" display="OptimizarSI!A1" xr:uid="{A5577F55-CFC4-4E8D-B55E-955BF35F473B}"/>
    <hyperlink ref="E22" location="MSPI!A1" display="MSPI!A1" xr:uid="{39A190F4-EE3D-4F15-B9DA-847584858FD3}"/>
    <hyperlink ref="E80" location="MSPI!A1" display="MSPI!A1" xr:uid="{20971E17-0189-46A5-9AD3-55F4ADD019BE}"/>
    <hyperlink ref="E104" location="MSPI!A1" display="MSPI!A1" xr:uid="{B3CA44A0-B122-4E4B-8B8B-C45946C9A1AC}"/>
    <hyperlink ref="E112" location="MSPI!A1" display="MSPI!A1" xr:uid="{158C9C0D-160C-4F04-81DD-8AE028829E4B}"/>
    <hyperlink ref="E118" location="MSPI!A1" display="MSPI!A1" xr:uid="{79A599B5-AE71-48FF-80F3-409D40DED229}"/>
    <hyperlink ref="E124" location="MSPI!A1" display="MSPI!A1" xr:uid="{B93827A0-1179-4953-9CC4-DF4B7232A79F}"/>
    <hyperlink ref="E130" location="MSPI!A1" display="MSPI!A1" xr:uid="{F756260B-C2AE-4D7E-AEA8-F8294F4F669E}"/>
    <hyperlink ref="E138" location="MSPI!A1" display="MSPI!A1" xr:uid="{CE97CBC7-CF9B-476F-8BC4-F8D5CD720741}"/>
    <hyperlink ref="E144" location="MSPI!A1" display="MSPI!A1" xr:uid="{551E9C47-DE1B-44B0-BF75-0B1DB88F568D}"/>
    <hyperlink ref="E150" location="MSPI!A1" display="MSPI!A1" xr:uid="{9068928D-ED14-480B-AEFA-3DD8AF193FB5}"/>
  </hyperlinks>
  <pageMargins left="0.31496062992125984" right="0.31496062992125984" top="0.35433070866141736" bottom="0.35433070866141736" header="0" footer="0"/>
  <pageSetup scale="39" orientation="landscape" horizontalDpi="300" verticalDpi="300" r:id="rId1"/>
  <headerFooter>
    <oddFooter>&amp;C&amp;G
4204000-FT-1138 Versión 01</oddFooter>
  </headerFooter>
  <ignoredErrors>
    <ignoredError sqref="I8 I34 I40 I64 I72 I90 I78 I102 I110 I136 I46 I52 I96 I84" unlockedFormula="1"/>
    <ignoredError sqref="I48 I74 I98 I118 I112 I92 I124" 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3F92-EC4A-4A64-8C2A-1A22D5F0A5BE}">
  <dimension ref="A1:Q91"/>
  <sheetViews>
    <sheetView zoomScale="70" zoomScaleNormal="70" zoomScaleSheetLayoutView="70" workbookViewId="0">
      <selection activeCell="I11" sqref="I11"/>
    </sheetView>
  </sheetViews>
  <sheetFormatPr baseColWidth="10" defaultColWidth="11.42578125" defaultRowHeight="15" x14ac:dyDescent="0.25"/>
  <cols>
    <col min="1" max="1" width="5.7109375" style="2" customWidth="1"/>
    <col min="2" max="2" width="21.5703125" style="3" customWidth="1"/>
    <col min="3" max="3" width="26.5703125" style="4" customWidth="1"/>
    <col min="4" max="4" width="38" style="5" customWidth="1"/>
    <col min="5" max="5" width="30.7109375" style="5" hidden="1" customWidth="1"/>
    <col min="6" max="6" width="16.42578125" style="5" customWidth="1"/>
    <col min="7" max="7" width="16.7109375" style="5" customWidth="1"/>
    <col min="8" max="8" width="19.42578125" style="3" customWidth="1"/>
    <col min="9" max="9" width="20.28515625" style="6" bestFit="1" customWidth="1"/>
    <col min="10" max="11" width="22" style="7" customWidth="1"/>
    <col min="12" max="13" width="22" style="9" customWidth="1"/>
    <col min="14" max="14" width="77.140625" style="9" customWidth="1"/>
    <col min="15" max="15" width="29.7109375" style="9" customWidth="1"/>
    <col min="16" max="16" width="30.140625" style="9" customWidth="1"/>
    <col min="17" max="17" width="30.7109375" style="5" customWidth="1"/>
    <col min="18" max="18" width="13.42578125" style="1" bestFit="1" customWidth="1"/>
    <col min="19" max="16384" width="11.42578125" style="1"/>
  </cols>
  <sheetData>
    <row r="1" spans="1:17" ht="108" customHeight="1" thickBot="1" x14ac:dyDescent="0.3">
      <c r="A1" s="146" t="s">
        <v>205</v>
      </c>
      <c r="B1" s="147"/>
      <c r="C1" s="147"/>
      <c r="D1" s="147"/>
      <c r="E1" s="147"/>
      <c r="F1" s="147"/>
      <c r="G1" s="147"/>
      <c r="H1" s="147"/>
      <c r="I1" s="147"/>
      <c r="J1" s="147"/>
      <c r="K1" s="147"/>
      <c r="L1" s="147"/>
      <c r="M1" s="147"/>
      <c r="N1" s="147"/>
      <c r="O1" s="147"/>
      <c r="P1" s="147"/>
      <c r="Q1" s="148"/>
    </row>
    <row r="2" spans="1:17" ht="9" customHeight="1" x14ac:dyDescent="0.25">
      <c r="A2" s="16"/>
      <c r="B2" s="17"/>
      <c r="C2" s="18"/>
      <c r="D2" s="19"/>
      <c r="E2" s="19"/>
      <c r="F2" s="19"/>
      <c r="G2" s="19"/>
      <c r="H2" s="17"/>
      <c r="I2" s="20"/>
      <c r="J2" s="21"/>
      <c r="K2" s="21"/>
      <c r="L2" s="21"/>
      <c r="M2" s="21"/>
      <c r="N2" s="21"/>
      <c r="O2" s="21"/>
      <c r="P2" s="21"/>
      <c r="Q2" s="19"/>
    </row>
    <row r="3" spans="1:17" s="2" customFormat="1" ht="33" customHeight="1" x14ac:dyDescent="0.25">
      <c r="A3" s="149" t="s">
        <v>0</v>
      </c>
      <c r="B3" s="149" t="s">
        <v>1</v>
      </c>
      <c r="C3" s="149" t="s">
        <v>2</v>
      </c>
      <c r="D3" s="149" t="s">
        <v>17</v>
      </c>
      <c r="E3" s="97" t="s">
        <v>140</v>
      </c>
      <c r="F3" s="149" t="s">
        <v>18</v>
      </c>
      <c r="G3" s="149" t="s">
        <v>45</v>
      </c>
      <c r="H3" s="149" t="s">
        <v>3</v>
      </c>
      <c r="I3" s="149"/>
      <c r="J3" s="149"/>
      <c r="K3" s="149"/>
      <c r="L3" s="149"/>
      <c r="M3" s="149"/>
      <c r="N3" s="35" t="s">
        <v>19</v>
      </c>
      <c r="O3" s="35" t="s">
        <v>19</v>
      </c>
      <c r="P3" s="35" t="s">
        <v>19</v>
      </c>
      <c r="Q3" s="35" t="s">
        <v>19</v>
      </c>
    </row>
    <row r="4" spans="1:17" s="2" customFormat="1" ht="31.5" customHeight="1" x14ac:dyDescent="0.25">
      <c r="A4" s="149"/>
      <c r="B4" s="149"/>
      <c r="C4" s="149"/>
      <c r="D4" s="149"/>
      <c r="E4" s="99"/>
      <c r="F4" s="149"/>
      <c r="G4" s="149"/>
      <c r="H4" s="150">
        <v>2023</v>
      </c>
      <c r="I4" s="149"/>
      <c r="J4" s="35" t="s">
        <v>4</v>
      </c>
      <c r="K4" s="35" t="s">
        <v>5</v>
      </c>
      <c r="L4" s="34" t="s">
        <v>6</v>
      </c>
      <c r="M4" s="34" t="s">
        <v>7</v>
      </c>
      <c r="N4" s="35" t="s">
        <v>4</v>
      </c>
      <c r="O4" s="35" t="s">
        <v>5</v>
      </c>
      <c r="P4" s="34" t="s">
        <v>6</v>
      </c>
      <c r="Q4" s="34" t="s">
        <v>7</v>
      </c>
    </row>
    <row r="5" spans="1:17" s="8" customFormat="1" ht="29.25" hidden="1" customHeight="1" thickBot="1" x14ac:dyDescent="0.3">
      <c r="A5" s="35"/>
      <c r="B5" s="12"/>
      <c r="C5" s="13"/>
      <c r="D5" s="35"/>
      <c r="E5" s="60"/>
      <c r="F5" s="12"/>
      <c r="G5" s="12"/>
      <c r="H5" s="12"/>
      <c r="I5" s="12"/>
      <c r="J5" s="10"/>
      <c r="K5" s="10"/>
      <c r="L5" s="14"/>
      <c r="M5" s="14"/>
      <c r="N5" s="14"/>
      <c r="O5" s="14"/>
      <c r="P5" s="14"/>
      <c r="Q5" s="35"/>
    </row>
    <row r="6" spans="1:17" ht="25.5" customHeight="1" x14ac:dyDescent="0.25">
      <c r="A6" s="144" t="s">
        <v>34</v>
      </c>
      <c r="B6" s="144"/>
      <c r="C6" s="144"/>
      <c r="D6" s="144"/>
      <c r="E6" s="144"/>
      <c r="F6" s="144"/>
      <c r="G6" s="144"/>
      <c r="H6" s="144"/>
      <c r="I6" s="144"/>
      <c r="J6" s="144"/>
      <c r="K6" s="144"/>
      <c r="L6" s="144"/>
      <c r="M6" s="144"/>
      <c r="N6" s="144"/>
      <c r="O6" s="144"/>
      <c r="P6" s="144"/>
      <c r="Q6" s="144"/>
    </row>
    <row r="7" spans="1:17" ht="36.75" customHeight="1" x14ac:dyDescent="0.25">
      <c r="A7" s="145">
        <v>1</v>
      </c>
      <c r="B7" s="132" t="s">
        <v>36</v>
      </c>
      <c r="C7" s="132" t="s">
        <v>44</v>
      </c>
      <c r="D7" s="132" t="s">
        <v>171</v>
      </c>
      <c r="E7" s="97" t="s">
        <v>151</v>
      </c>
      <c r="F7" s="101">
        <v>1</v>
      </c>
      <c r="G7" s="176">
        <v>0.5</v>
      </c>
      <c r="H7" s="36" t="s">
        <v>8</v>
      </c>
      <c r="I7" s="43">
        <v>1</v>
      </c>
      <c r="J7" s="44">
        <v>0.25</v>
      </c>
      <c r="K7" s="44">
        <v>0.5</v>
      </c>
      <c r="L7" s="44">
        <v>0.75</v>
      </c>
      <c r="M7" s="44">
        <v>1</v>
      </c>
      <c r="N7" s="135" t="s">
        <v>172</v>
      </c>
      <c r="O7" s="123" t="s">
        <v>20</v>
      </c>
      <c r="P7" s="123" t="s">
        <v>20</v>
      </c>
      <c r="Q7" s="123" t="s">
        <v>20</v>
      </c>
    </row>
    <row r="8" spans="1:17" ht="36.75" customHeight="1" x14ac:dyDescent="0.25">
      <c r="A8" s="145"/>
      <c r="B8" s="133"/>
      <c r="C8" s="133"/>
      <c r="D8" s="133"/>
      <c r="E8" s="98"/>
      <c r="F8" s="101"/>
      <c r="G8" s="176"/>
      <c r="H8" s="36" t="s">
        <v>9</v>
      </c>
      <c r="I8" s="45">
        <f>SUM(J8:M8)</f>
        <v>0.25</v>
      </c>
      <c r="J8" s="56">
        <v>0.25</v>
      </c>
      <c r="K8" s="54" t="s">
        <v>38</v>
      </c>
      <c r="L8" s="54" t="s">
        <v>38</v>
      </c>
      <c r="M8" s="54" t="s">
        <v>38</v>
      </c>
      <c r="N8" s="136"/>
      <c r="O8" s="124"/>
      <c r="P8" s="124"/>
      <c r="Q8" s="124"/>
    </row>
    <row r="9" spans="1:17" ht="36.75" customHeight="1" x14ac:dyDescent="0.25">
      <c r="A9" s="145"/>
      <c r="B9" s="133"/>
      <c r="C9" s="133"/>
      <c r="D9" s="133"/>
      <c r="E9" s="98"/>
      <c r="F9" s="114" t="s">
        <v>10</v>
      </c>
      <c r="G9" s="115"/>
      <c r="H9" s="36" t="s">
        <v>153</v>
      </c>
      <c r="I9" s="39" t="s">
        <v>22</v>
      </c>
      <c r="J9" s="53" t="s">
        <v>22</v>
      </c>
      <c r="K9" s="53" t="s">
        <v>22</v>
      </c>
      <c r="L9" s="53" t="s">
        <v>22</v>
      </c>
      <c r="M9" s="53" t="s">
        <v>22</v>
      </c>
      <c r="N9" s="136"/>
      <c r="O9" s="124"/>
      <c r="P9" s="124"/>
      <c r="Q9" s="124"/>
    </row>
    <row r="10" spans="1:17" ht="36.75" customHeight="1" x14ac:dyDescent="0.25">
      <c r="A10" s="145"/>
      <c r="B10" s="133"/>
      <c r="C10" s="133"/>
      <c r="D10" s="133"/>
      <c r="E10" s="98"/>
      <c r="F10" s="116"/>
      <c r="G10" s="117"/>
      <c r="H10" s="36" t="s">
        <v>154</v>
      </c>
      <c r="I10" s="39" t="s">
        <v>22</v>
      </c>
      <c r="J10" s="57" t="s">
        <v>22</v>
      </c>
      <c r="K10" s="57" t="s">
        <v>22</v>
      </c>
      <c r="L10" s="57" t="s">
        <v>22</v>
      </c>
      <c r="M10" s="57" t="s">
        <v>22</v>
      </c>
      <c r="N10" s="136"/>
      <c r="O10" s="124"/>
      <c r="P10" s="124"/>
      <c r="Q10" s="124"/>
    </row>
    <row r="11" spans="1:17" ht="36.75" customHeight="1" x14ac:dyDescent="0.25">
      <c r="A11" s="145"/>
      <c r="B11" s="133"/>
      <c r="C11" s="133"/>
      <c r="D11" s="133"/>
      <c r="E11" s="98"/>
      <c r="F11" s="116"/>
      <c r="G11" s="117"/>
      <c r="H11" s="36" t="s">
        <v>155</v>
      </c>
      <c r="I11" s="40" t="s">
        <v>22</v>
      </c>
      <c r="J11" s="53" t="s">
        <v>22</v>
      </c>
      <c r="K11" s="53" t="s">
        <v>22</v>
      </c>
      <c r="L11" s="53" t="s">
        <v>22</v>
      </c>
      <c r="M11" s="53" t="s">
        <v>22</v>
      </c>
      <c r="N11" s="136"/>
      <c r="O11" s="124"/>
      <c r="P11" s="124"/>
      <c r="Q11" s="124"/>
    </row>
    <row r="12" spans="1:17" ht="36.75" customHeight="1" x14ac:dyDescent="0.25">
      <c r="A12" s="145"/>
      <c r="B12" s="134"/>
      <c r="C12" s="134"/>
      <c r="D12" s="134"/>
      <c r="E12" s="99"/>
      <c r="F12" s="118"/>
      <c r="G12" s="119"/>
      <c r="H12" s="41" t="s">
        <v>11</v>
      </c>
      <c r="I12" s="40" t="s">
        <v>22</v>
      </c>
      <c r="J12" s="53" t="s">
        <v>22</v>
      </c>
      <c r="K12" s="53" t="s">
        <v>22</v>
      </c>
      <c r="L12" s="53" t="s">
        <v>22</v>
      </c>
      <c r="M12" s="53" t="s">
        <v>22</v>
      </c>
      <c r="N12" s="137"/>
      <c r="O12" s="125"/>
      <c r="P12" s="125"/>
      <c r="Q12" s="125"/>
    </row>
    <row r="13" spans="1:17" s="4" customFormat="1" ht="51.75" customHeight="1" x14ac:dyDescent="0.2">
      <c r="A13" s="145"/>
      <c r="B13" s="132" t="s">
        <v>37</v>
      </c>
      <c r="C13" s="132" t="s">
        <v>44</v>
      </c>
      <c r="D13" s="135" t="s">
        <v>173</v>
      </c>
      <c r="E13" s="138" t="s">
        <v>152</v>
      </c>
      <c r="F13" s="101">
        <v>1</v>
      </c>
      <c r="G13" s="101">
        <v>0.5</v>
      </c>
      <c r="H13" s="36" t="s">
        <v>8</v>
      </c>
      <c r="I13" s="37">
        <v>1</v>
      </c>
      <c r="J13" s="42">
        <v>0.35</v>
      </c>
      <c r="K13" s="42">
        <v>0.5</v>
      </c>
      <c r="L13" s="42">
        <v>0.75</v>
      </c>
      <c r="M13" s="42">
        <v>1</v>
      </c>
      <c r="N13" s="132" t="s">
        <v>174</v>
      </c>
      <c r="O13" s="123" t="s">
        <v>20</v>
      </c>
      <c r="P13" s="123" t="s">
        <v>20</v>
      </c>
      <c r="Q13" s="123" t="s">
        <v>20</v>
      </c>
    </row>
    <row r="14" spans="1:17" s="4" customFormat="1" ht="51.75" customHeight="1" x14ac:dyDescent="0.2">
      <c r="A14" s="145"/>
      <c r="B14" s="133"/>
      <c r="C14" s="133"/>
      <c r="D14" s="136"/>
      <c r="E14" s="139"/>
      <c r="F14" s="101"/>
      <c r="G14" s="101"/>
      <c r="H14" s="36" t="s">
        <v>9</v>
      </c>
      <c r="I14" s="38">
        <f>SUM(J14:M14)</f>
        <v>0.25</v>
      </c>
      <c r="J14" s="56">
        <v>0.25</v>
      </c>
      <c r="K14" s="54" t="s">
        <v>38</v>
      </c>
      <c r="L14" s="54" t="s">
        <v>38</v>
      </c>
      <c r="M14" s="54" t="s">
        <v>38</v>
      </c>
      <c r="N14" s="133"/>
      <c r="O14" s="124"/>
      <c r="P14" s="124"/>
      <c r="Q14" s="124"/>
    </row>
    <row r="15" spans="1:17" ht="51.75" customHeight="1" x14ac:dyDescent="0.25">
      <c r="A15" s="145"/>
      <c r="B15" s="133"/>
      <c r="C15" s="133"/>
      <c r="D15" s="136"/>
      <c r="E15" s="139"/>
      <c r="F15" s="114" t="s">
        <v>10</v>
      </c>
      <c r="G15" s="115"/>
      <c r="H15" s="36" t="s">
        <v>153</v>
      </c>
      <c r="I15" s="39" t="s">
        <v>22</v>
      </c>
      <c r="J15" s="53" t="s">
        <v>22</v>
      </c>
      <c r="K15" s="53" t="s">
        <v>22</v>
      </c>
      <c r="L15" s="53" t="s">
        <v>22</v>
      </c>
      <c r="M15" s="53" t="s">
        <v>22</v>
      </c>
      <c r="N15" s="133"/>
      <c r="O15" s="124"/>
      <c r="P15" s="124"/>
      <c r="Q15" s="124"/>
    </row>
    <row r="16" spans="1:17" ht="51.75" customHeight="1" x14ac:dyDescent="0.25">
      <c r="A16" s="145"/>
      <c r="B16" s="133"/>
      <c r="C16" s="133"/>
      <c r="D16" s="136"/>
      <c r="E16" s="139"/>
      <c r="F16" s="116"/>
      <c r="G16" s="117"/>
      <c r="H16" s="36" t="s">
        <v>154</v>
      </c>
      <c r="I16" s="39" t="s">
        <v>22</v>
      </c>
      <c r="J16" s="57" t="s">
        <v>22</v>
      </c>
      <c r="K16" s="57" t="s">
        <v>22</v>
      </c>
      <c r="L16" s="57" t="s">
        <v>22</v>
      </c>
      <c r="M16" s="57" t="s">
        <v>22</v>
      </c>
      <c r="N16" s="133"/>
      <c r="O16" s="124"/>
      <c r="P16" s="124"/>
      <c r="Q16" s="124"/>
    </row>
    <row r="17" spans="1:17" ht="51.75" customHeight="1" x14ac:dyDescent="0.25">
      <c r="A17" s="145"/>
      <c r="B17" s="133"/>
      <c r="C17" s="133"/>
      <c r="D17" s="136"/>
      <c r="E17" s="139"/>
      <c r="F17" s="116"/>
      <c r="G17" s="117"/>
      <c r="H17" s="36" t="s">
        <v>155</v>
      </c>
      <c r="I17" s="40" t="s">
        <v>22</v>
      </c>
      <c r="J17" s="53" t="s">
        <v>22</v>
      </c>
      <c r="K17" s="53" t="s">
        <v>22</v>
      </c>
      <c r="L17" s="53" t="s">
        <v>22</v>
      </c>
      <c r="M17" s="53" t="s">
        <v>22</v>
      </c>
      <c r="N17" s="133"/>
      <c r="O17" s="124"/>
      <c r="P17" s="124"/>
      <c r="Q17" s="124"/>
    </row>
    <row r="18" spans="1:17" ht="51.75" customHeight="1" x14ac:dyDescent="0.25">
      <c r="A18" s="145"/>
      <c r="B18" s="134"/>
      <c r="C18" s="134"/>
      <c r="D18" s="137"/>
      <c r="E18" s="140"/>
      <c r="F18" s="118"/>
      <c r="G18" s="119"/>
      <c r="H18" s="41" t="s">
        <v>11</v>
      </c>
      <c r="I18" s="40" t="s">
        <v>22</v>
      </c>
      <c r="J18" s="53" t="s">
        <v>22</v>
      </c>
      <c r="K18" s="53" t="s">
        <v>22</v>
      </c>
      <c r="L18" s="53" t="s">
        <v>22</v>
      </c>
      <c r="M18" s="53" t="s">
        <v>22</v>
      </c>
      <c r="N18" s="134"/>
      <c r="O18" s="125"/>
      <c r="P18" s="125"/>
      <c r="Q18" s="125"/>
    </row>
    <row r="19" spans="1:17" s="15" customFormat="1" x14ac:dyDescent="0.25">
      <c r="A19" s="22"/>
      <c r="B19" s="23"/>
      <c r="C19" s="24"/>
      <c r="D19" s="25"/>
      <c r="E19" s="25"/>
      <c r="F19" s="25"/>
      <c r="G19" s="25"/>
      <c r="H19" s="23"/>
      <c r="I19" s="26"/>
      <c r="J19" s="27"/>
      <c r="K19" s="27"/>
      <c r="L19" s="27"/>
      <c r="M19" s="27"/>
      <c r="N19" s="27"/>
      <c r="O19" s="27"/>
      <c r="P19" s="27"/>
      <c r="Q19" s="25"/>
    </row>
    <row r="20" spans="1:17" ht="25.5" customHeight="1" x14ac:dyDescent="0.25">
      <c r="A20" s="144" t="s">
        <v>35</v>
      </c>
      <c r="B20" s="144"/>
      <c r="C20" s="144"/>
      <c r="D20" s="144"/>
      <c r="E20" s="144"/>
      <c r="F20" s="144"/>
      <c r="G20" s="144"/>
      <c r="H20" s="144"/>
      <c r="I20" s="144"/>
      <c r="J20" s="144"/>
      <c r="K20" s="144"/>
      <c r="L20" s="144"/>
      <c r="M20" s="144"/>
      <c r="N20" s="144"/>
      <c r="O20" s="144"/>
      <c r="P20" s="144"/>
      <c r="Q20" s="144"/>
    </row>
    <row r="21" spans="1:17" ht="36.75" customHeight="1" x14ac:dyDescent="0.25">
      <c r="A21" s="145">
        <v>2</v>
      </c>
      <c r="B21" s="145" t="s">
        <v>37</v>
      </c>
      <c r="C21" s="132" t="s">
        <v>44</v>
      </c>
      <c r="D21" s="135" t="s">
        <v>176</v>
      </c>
      <c r="E21" s="97" t="s">
        <v>148</v>
      </c>
      <c r="F21" s="101">
        <v>1</v>
      </c>
      <c r="G21" s="176">
        <v>0.5</v>
      </c>
      <c r="H21" s="36" t="s">
        <v>8</v>
      </c>
      <c r="I21" s="43">
        <v>1</v>
      </c>
      <c r="J21" s="44">
        <v>0.25</v>
      </c>
      <c r="K21" s="44">
        <v>0.5</v>
      </c>
      <c r="L21" s="44">
        <v>0.75</v>
      </c>
      <c r="M21" s="44">
        <v>1</v>
      </c>
      <c r="N21" s="189" t="s">
        <v>200</v>
      </c>
      <c r="O21" s="123" t="s">
        <v>20</v>
      </c>
      <c r="P21" s="123" t="s">
        <v>20</v>
      </c>
      <c r="Q21" s="123" t="s">
        <v>20</v>
      </c>
    </row>
    <row r="22" spans="1:17" ht="36.75" customHeight="1" x14ac:dyDescent="0.25">
      <c r="A22" s="145"/>
      <c r="B22" s="145"/>
      <c r="C22" s="133"/>
      <c r="D22" s="136"/>
      <c r="E22" s="133"/>
      <c r="F22" s="101"/>
      <c r="G22" s="176"/>
      <c r="H22" s="36" t="s">
        <v>9</v>
      </c>
      <c r="I22" s="45">
        <f>SUM(J22:M22)</f>
        <v>0.25</v>
      </c>
      <c r="J22" s="56">
        <v>0.25</v>
      </c>
      <c r="K22" s="54" t="s">
        <v>38</v>
      </c>
      <c r="L22" s="54" t="s">
        <v>38</v>
      </c>
      <c r="M22" s="54" t="s">
        <v>38</v>
      </c>
      <c r="N22" s="190"/>
      <c r="O22" s="124"/>
      <c r="P22" s="124"/>
      <c r="Q22" s="124"/>
    </row>
    <row r="23" spans="1:17" ht="36.75" customHeight="1" x14ac:dyDescent="0.25">
      <c r="A23" s="145"/>
      <c r="B23" s="145"/>
      <c r="C23" s="133"/>
      <c r="D23" s="136"/>
      <c r="E23" s="133"/>
      <c r="F23" s="114" t="s">
        <v>10</v>
      </c>
      <c r="G23" s="115"/>
      <c r="H23" s="36" t="s">
        <v>153</v>
      </c>
      <c r="I23" s="39">
        <f>SUM(J23:M23)</f>
        <v>1137237000</v>
      </c>
      <c r="J23" s="53">
        <v>177397660</v>
      </c>
      <c r="K23" s="53">
        <v>273596490</v>
      </c>
      <c r="L23" s="53">
        <v>275846490</v>
      </c>
      <c r="M23" s="53">
        <v>410396360</v>
      </c>
      <c r="N23" s="190"/>
      <c r="O23" s="124"/>
      <c r="P23" s="124"/>
      <c r="Q23" s="124"/>
    </row>
    <row r="24" spans="1:17" ht="36.75" customHeight="1" x14ac:dyDescent="0.25">
      <c r="A24" s="145"/>
      <c r="B24" s="145"/>
      <c r="C24" s="133"/>
      <c r="D24" s="136"/>
      <c r="E24" s="133"/>
      <c r="F24" s="116"/>
      <c r="G24" s="117"/>
      <c r="H24" s="36" t="s">
        <v>154</v>
      </c>
      <c r="I24" s="39">
        <f>SUM(J24:M24)</f>
        <v>1147087000</v>
      </c>
      <c r="J24" s="57">
        <f>88698830*2</f>
        <v>177397660</v>
      </c>
      <c r="K24" s="57">
        <f>4000000+1750000+1750000+(88698830*3)</f>
        <v>273596490</v>
      </c>
      <c r="L24" s="57">
        <f>8000000+1200000+(88698830*3)</f>
        <v>275296490</v>
      </c>
      <c r="M24" s="57">
        <f>8000000+1750000+1500000+5400000+(88698830*2)+49350000+177398700</f>
        <v>420796360</v>
      </c>
      <c r="N24" s="190"/>
      <c r="O24" s="124"/>
      <c r="P24" s="124"/>
      <c r="Q24" s="124"/>
    </row>
    <row r="25" spans="1:17" ht="36.75" customHeight="1" x14ac:dyDescent="0.25">
      <c r="A25" s="145"/>
      <c r="B25" s="145"/>
      <c r="C25" s="133"/>
      <c r="D25" s="136"/>
      <c r="E25" s="133"/>
      <c r="F25" s="116"/>
      <c r="G25" s="117"/>
      <c r="H25" s="36" t="s">
        <v>155</v>
      </c>
      <c r="I25" s="40">
        <f>SUM(J25:M25)</f>
        <v>0</v>
      </c>
      <c r="J25" s="57">
        <v>0</v>
      </c>
      <c r="K25" s="54" t="s">
        <v>39</v>
      </c>
      <c r="L25" s="54" t="s">
        <v>39</v>
      </c>
      <c r="M25" s="54" t="s">
        <v>39</v>
      </c>
      <c r="N25" s="190"/>
      <c r="O25" s="124"/>
      <c r="P25" s="124"/>
      <c r="Q25" s="124"/>
    </row>
    <row r="26" spans="1:17" ht="36.75" customHeight="1" x14ac:dyDescent="0.25">
      <c r="A26" s="145"/>
      <c r="B26" s="145"/>
      <c r="C26" s="134"/>
      <c r="D26" s="137"/>
      <c r="E26" s="134"/>
      <c r="F26" s="118"/>
      <c r="G26" s="119"/>
      <c r="H26" s="41" t="s">
        <v>11</v>
      </c>
      <c r="I26" s="40">
        <f>SUM(J26:M26)</f>
        <v>121238175</v>
      </c>
      <c r="J26" s="57">
        <f>7380162+25996954+87861059</f>
        <v>121238175</v>
      </c>
      <c r="K26" s="54" t="s">
        <v>40</v>
      </c>
      <c r="L26" s="54" t="s">
        <v>40</v>
      </c>
      <c r="M26" s="54" t="s">
        <v>40</v>
      </c>
      <c r="N26" s="191"/>
      <c r="O26" s="125"/>
      <c r="P26" s="125"/>
      <c r="Q26" s="125"/>
    </row>
    <row r="27" spans="1:17" s="4" customFormat="1" ht="36.75" customHeight="1" x14ac:dyDescent="0.2">
      <c r="A27" s="145"/>
      <c r="B27" s="145"/>
      <c r="C27" s="132" t="s">
        <v>44</v>
      </c>
      <c r="D27" s="135" t="s">
        <v>138</v>
      </c>
      <c r="E27" s="97" t="s">
        <v>96</v>
      </c>
      <c r="F27" s="101">
        <v>1</v>
      </c>
      <c r="G27" s="101">
        <v>0.5</v>
      </c>
      <c r="H27" s="36" t="s">
        <v>8</v>
      </c>
      <c r="I27" s="37">
        <v>1</v>
      </c>
      <c r="J27" s="56">
        <v>1</v>
      </c>
      <c r="K27" s="160" t="s">
        <v>165</v>
      </c>
      <c r="L27" s="161"/>
      <c r="M27" s="162"/>
      <c r="N27" s="189" t="s">
        <v>199</v>
      </c>
      <c r="O27" s="126"/>
      <c r="P27" s="169"/>
      <c r="Q27" s="127"/>
    </row>
    <row r="28" spans="1:17" s="4" customFormat="1" ht="36.75" customHeight="1" x14ac:dyDescent="0.2">
      <c r="A28" s="145"/>
      <c r="B28" s="145"/>
      <c r="C28" s="133"/>
      <c r="D28" s="136"/>
      <c r="E28" s="98"/>
      <c r="F28" s="101"/>
      <c r="G28" s="101"/>
      <c r="H28" s="36" t="s">
        <v>9</v>
      </c>
      <c r="I28" s="38">
        <f>SUM(J28:M28)</f>
        <v>1</v>
      </c>
      <c r="J28" s="56">
        <v>1</v>
      </c>
      <c r="K28" s="163"/>
      <c r="L28" s="164"/>
      <c r="M28" s="165"/>
      <c r="N28" s="190"/>
      <c r="O28" s="128"/>
      <c r="P28" s="170"/>
      <c r="Q28" s="129"/>
    </row>
    <row r="29" spans="1:17" ht="36.75" customHeight="1" x14ac:dyDescent="0.25">
      <c r="A29" s="145"/>
      <c r="B29" s="145"/>
      <c r="C29" s="133"/>
      <c r="D29" s="136"/>
      <c r="E29" s="98"/>
      <c r="F29" s="114" t="s">
        <v>10</v>
      </c>
      <c r="G29" s="115"/>
      <c r="H29" s="36" t="s">
        <v>153</v>
      </c>
      <c r="I29" s="39">
        <f>SUM(J29:M29)</f>
        <v>0</v>
      </c>
      <c r="J29" s="57">
        <v>0</v>
      </c>
      <c r="K29" s="163"/>
      <c r="L29" s="164"/>
      <c r="M29" s="165"/>
      <c r="N29" s="190"/>
      <c r="O29" s="128"/>
      <c r="P29" s="170"/>
      <c r="Q29" s="129"/>
    </row>
    <row r="30" spans="1:17" ht="36.75" customHeight="1" x14ac:dyDescent="0.25">
      <c r="A30" s="145"/>
      <c r="B30" s="145"/>
      <c r="C30" s="133"/>
      <c r="D30" s="136"/>
      <c r="E30" s="98"/>
      <c r="F30" s="116"/>
      <c r="G30" s="117"/>
      <c r="H30" s="36" t="s">
        <v>154</v>
      </c>
      <c r="I30" s="39">
        <f>SUM(J30:M30)</f>
        <v>0</v>
      </c>
      <c r="J30" s="57">
        <v>0</v>
      </c>
      <c r="K30" s="163"/>
      <c r="L30" s="164"/>
      <c r="M30" s="165"/>
      <c r="N30" s="190"/>
      <c r="O30" s="128"/>
      <c r="P30" s="170"/>
      <c r="Q30" s="129"/>
    </row>
    <row r="31" spans="1:17" ht="36.75" customHeight="1" x14ac:dyDescent="0.25">
      <c r="A31" s="145"/>
      <c r="B31" s="145"/>
      <c r="C31" s="133"/>
      <c r="D31" s="136"/>
      <c r="E31" s="98"/>
      <c r="F31" s="116"/>
      <c r="G31" s="117"/>
      <c r="H31" s="36" t="s">
        <v>155</v>
      </c>
      <c r="I31" s="40">
        <f>SUM(J31:M31)</f>
        <v>0</v>
      </c>
      <c r="J31" s="57">
        <v>0</v>
      </c>
      <c r="K31" s="163"/>
      <c r="L31" s="164"/>
      <c r="M31" s="165"/>
      <c r="N31" s="190"/>
      <c r="O31" s="128"/>
      <c r="P31" s="170"/>
      <c r="Q31" s="129"/>
    </row>
    <row r="32" spans="1:17" ht="36.75" customHeight="1" x14ac:dyDescent="0.25">
      <c r="A32" s="145"/>
      <c r="B32" s="145"/>
      <c r="C32" s="134"/>
      <c r="D32" s="137"/>
      <c r="E32" s="99"/>
      <c r="F32" s="118"/>
      <c r="G32" s="119"/>
      <c r="H32" s="41" t="s">
        <v>11</v>
      </c>
      <c r="I32" s="40">
        <f>SUM(J32:M32)</f>
        <v>0</v>
      </c>
      <c r="J32" s="57">
        <v>0</v>
      </c>
      <c r="K32" s="166"/>
      <c r="L32" s="167"/>
      <c r="M32" s="168"/>
      <c r="N32" s="191"/>
      <c r="O32" s="130"/>
      <c r="P32" s="171"/>
      <c r="Q32" s="131"/>
    </row>
    <row r="33" spans="1:17" s="4" customFormat="1" ht="36.75" customHeight="1" x14ac:dyDescent="0.2">
      <c r="A33" s="145"/>
      <c r="B33" s="145"/>
      <c r="C33" s="132" t="s">
        <v>44</v>
      </c>
      <c r="D33" s="135" t="s">
        <v>183</v>
      </c>
      <c r="E33" s="97" t="s">
        <v>96</v>
      </c>
      <c r="F33" s="101">
        <v>1</v>
      </c>
      <c r="G33" s="101">
        <v>0.5</v>
      </c>
      <c r="H33" s="36" t="s">
        <v>8</v>
      </c>
      <c r="I33" s="37">
        <v>1</v>
      </c>
      <c r="J33" s="56">
        <v>0</v>
      </c>
      <c r="K33" s="56">
        <v>0.33</v>
      </c>
      <c r="L33" s="56">
        <v>0.66</v>
      </c>
      <c r="M33" s="56">
        <v>1</v>
      </c>
      <c r="N33" s="189" t="s">
        <v>180</v>
      </c>
      <c r="O33" s="189" t="s">
        <v>180</v>
      </c>
      <c r="P33" s="189" t="s">
        <v>180</v>
      </c>
      <c r="Q33" s="189" t="s">
        <v>180</v>
      </c>
    </row>
    <row r="34" spans="1:17" s="4" customFormat="1" ht="36.75" customHeight="1" x14ac:dyDescent="0.2">
      <c r="A34" s="145"/>
      <c r="B34" s="145"/>
      <c r="C34" s="133"/>
      <c r="D34" s="136"/>
      <c r="E34" s="98"/>
      <c r="F34" s="101"/>
      <c r="G34" s="101"/>
      <c r="H34" s="36" t="s">
        <v>9</v>
      </c>
      <c r="I34" s="38">
        <f>SUM(J34:M34)</f>
        <v>0</v>
      </c>
      <c r="J34" s="56">
        <v>0</v>
      </c>
      <c r="K34" s="54" t="s">
        <v>38</v>
      </c>
      <c r="L34" s="54" t="s">
        <v>38</v>
      </c>
      <c r="M34" s="54" t="s">
        <v>38</v>
      </c>
      <c r="N34" s="190"/>
      <c r="O34" s="190"/>
      <c r="P34" s="190"/>
      <c r="Q34" s="190"/>
    </row>
    <row r="35" spans="1:17" ht="36.75" customHeight="1" x14ac:dyDescent="0.25">
      <c r="A35" s="145"/>
      <c r="B35" s="145"/>
      <c r="C35" s="133"/>
      <c r="D35" s="136"/>
      <c r="E35" s="98"/>
      <c r="F35" s="114" t="s">
        <v>10</v>
      </c>
      <c r="G35" s="115"/>
      <c r="H35" s="36" t="s">
        <v>153</v>
      </c>
      <c r="I35" s="39">
        <f>SUM(J35:M35)</f>
        <v>16490000</v>
      </c>
      <c r="J35" s="57">
        <v>0</v>
      </c>
      <c r="K35" s="57">
        <v>4996667</v>
      </c>
      <c r="L35" s="57">
        <f>K35</f>
        <v>4996667</v>
      </c>
      <c r="M35" s="57">
        <v>6496666</v>
      </c>
      <c r="N35" s="190"/>
      <c r="O35" s="190"/>
      <c r="P35" s="190"/>
      <c r="Q35" s="190"/>
    </row>
    <row r="36" spans="1:17" ht="36.75" customHeight="1" x14ac:dyDescent="0.25">
      <c r="A36" s="145"/>
      <c r="B36" s="145"/>
      <c r="C36" s="133"/>
      <c r="D36" s="136"/>
      <c r="E36" s="98"/>
      <c r="F36" s="116"/>
      <c r="G36" s="117"/>
      <c r="H36" s="36" t="s">
        <v>154</v>
      </c>
      <c r="I36" s="39">
        <f>SUM(J36:M36)</f>
        <v>0</v>
      </c>
      <c r="J36" s="57">
        <v>0</v>
      </c>
      <c r="K36" s="57">
        <v>0</v>
      </c>
      <c r="L36" s="57">
        <v>0</v>
      </c>
      <c r="M36" s="57">
        <v>0</v>
      </c>
      <c r="N36" s="190"/>
      <c r="O36" s="190"/>
      <c r="P36" s="190"/>
      <c r="Q36" s="190"/>
    </row>
    <row r="37" spans="1:17" ht="36.75" customHeight="1" x14ac:dyDescent="0.25">
      <c r="A37" s="145"/>
      <c r="B37" s="145"/>
      <c r="C37" s="133"/>
      <c r="D37" s="136"/>
      <c r="E37" s="98"/>
      <c r="F37" s="116"/>
      <c r="G37" s="117"/>
      <c r="H37" s="36" t="s">
        <v>155</v>
      </c>
      <c r="I37" s="40">
        <f>SUM(J37:M37)</f>
        <v>0</v>
      </c>
      <c r="J37" s="57">
        <v>0</v>
      </c>
      <c r="K37" s="57">
        <v>0</v>
      </c>
      <c r="L37" s="57">
        <v>0</v>
      </c>
      <c r="M37" s="57">
        <v>0</v>
      </c>
      <c r="N37" s="190"/>
      <c r="O37" s="190"/>
      <c r="P37" s="190"/>
      <c r="Q37" s="190"/>
    </row>
    <row r="38" spans="1:17" ht="36.75" customHeight="1" x14ac:dyDescent="0.25">
      <c r="A38" s="145"/>
      <c r="B38" s="145"/>
      <c r="C38" s="134"/>
      <c r="D38" s="137"/>
      <c r="E38" s="99"/>
      <c r="F38" s="118"/>
      <c r="G38" s="119"/>
      <c r="H38" s="41" t="s">
        <v>11</v>
      </c>
      <c r="I38" s="40">
        <f>SUM(J38:M38)</f>
        <v>0</v>
      </c>
      <c r="J38" s="57">
        <v>0</v>
      </c>
      <c r="K38" s="57">
        <v>0</v>
      </c>
      <c r="L38" s="57">
        <v>0</v>
      </c>
      <c r="M38" s="57">
        <v>0</v>
      </c>
      <c r="N38" s="191"/>
      <c r="O38" s="191"/>
      <c r="P38" s="191"/>
      <c r="Q38" s="191"/>
    </row>
    <row r="39" spans="1:17" s="4" customFormat="1" ht="36.75" customHeight="1" x14ac:dyDescent="0.2">
      <c r="A39" s="145"/>
      <c r="B39" s="145"/>
      <c r="C39" s="132" t="s">
        <v>44</v>
      </c>
      <c r="D39" s="135" t="s">
        <v>184</v>
      </c>
      <c r="E39" s="97" t="s">
        <v>96</v>
      </c>
      <c r="F39" s="101">
        <v>1</v>
      </c>
      <c r="G39" s="101">
        <v>0.5</v>
      </c>
      <c r="H39" s="36" t="s">
        <v>8</v>
      </c>
      <c r="I39" s="37">
        <v>1</v>
      </c>
      <c r="J39" s="56">
        <v>0.25</v>
      </c>
      <c r="K39" s="56">
        <v>0.33</v>
      </c>
      <c r="L39" s="56">
        <v>0.66</v>
      </c>
      <c r="M39" s="56">
        <v>1</v>
      </c>
      <c r="N39" s="189" t="s">
        <v>180</v>
      </c>
      <c r="O39" s="123" t="s">
        <v>20</v>
      </c>
      <c r="P39" s="123" t="s">
        <v>20</v>
      </c>
      <c r="Q39" s="123" t="s">
        <v>20</v>
      </c>
    </row>
    <row r="40" spans="1:17" s="4" customFormat="1" ht="36.75" customHeight="1" x14ac:dyDescent="0.2">
      <c r="A40" s="145"/>
      <c r="B40" s="145"/>
      <c r="C40" s="133"/>
      <c r="D40" s="136"/>
      <c r="E40" s="98"/>
      <c r="F40" s="101"/>
      <c r="G40" s="101"/>
      <c r="H40" s="36" t="s">
        <v>9</v>
      </c>
      <c r="I40" s="38">
        <f>SUM(J40:M40)</f>
        <v>0</v>
      </c>
      <c r="J40" s="56">
        <v>0</v>
      </c>
      <c r="K40" s="54" t="s">
        <v>38</v>
      </c>
      <c r="L40" s="54" t="s">
        <v>38</v>
      </c>
      <c r="M40" s="54" t="s">
        <v>38</v>
      </c>
      <c r="N40" s="190"/>
      <c r="O40" s="124"/>
      <c r="P40" s="124"/>
      <c r="Q40" s="124"/>
    </row>
    <row r="41" spans="1:17" ht="36.75" customHeight="1" x14ac:dyDescent="0.25">
      <c r="A41" s="145"/>
      <c r="B41" s="145"/>
      <c r="C41" s="133"/>
      <c r="D41" s="136"/>
      <c r="E41" s="98"/>
      <c r="F41" s="114" t="s">
        <v>10</v>
      </c>
      <c r="G41" s="115"/>
      <c r="H41" s="36" t="s">
        <v>153</v>
      </c>
      <c r="I41" s="39">
        <f>SUM(J41:M41)</f>
        <v>44897000</v>
      </c>
      <c r="J41" s="57">
        <v>0</v>
      </c>
      <c r="K41" s="57">
        <v>11250000</v>
      </c>
      <c r="L41" s="57">
        <v>11250000</v>
      </c>
      <c r="M41" s="57">
        <v>22397000</v>
      </c>
      <c r="N41" s="190"/>
      <c r="O41" s="124"/>
      <c r="P41" s="124"/>
      <c r="Q41" s="124"/>
    </row>
    <row r="42" spans="1:17" ht="36.75" customHeight="1" x14ac:dyDescent="0.25">
      <c r="A42" s="145"/>
      <c r="B42" s="145"/>
      <c r="C42" s="133"/>
      <c r="D42" s="136"/>
      <c r="E42" s="98"/>
      <c r="F42" s="116"/>
      <c r="G42" s="117"/>
      <c r="H42" s="36" t="s">
        <v>154</v>
      </c>
      <c r="I42" s="39">
        <f>SUM(J42:M42)</f>
        <v>0</v>
      </c>
      <c r="J42" s="57">
        <v>0</v>
      </c>
      <c r="K42" s="57">
        <v>0</v>
      </c>
      <c r="L42" s="57">
        <v>0</v>
      </c>
      <c r="M42" s="57">
        <v>0</v>
      </c>
      <c r="N42" s="190"/>
      <c r="O42" s="124"/>
      <c r="P42" s="124"/>
      <c r="Q42" s="124"/>
    </row>
    <row r="43" spans="1:17" ht="36.75" customHeight="1" x14ac:dyDescent="0.25">
      <c r="A43" s="145"/>
      <c r="B43" s="145"/>
      <c r="C43" s="133"/>
      <c r="D43" s="136"/>
      <c r="E43" s="98"/>
      <c r="F43" s="116"/>
      <c r="G43" s="117"/>
      <c r="H43" s="36" t="s">
        <v>155</v>
      </c>
      <c r="I43" s="40">
        <f>SUM(J43:M43)</f>
        <v>0</v>
      </c>
      <c r="J43" s="57">
        <v>0</v>
      </c>
      <c r="K43" s="54" t="s">
        <v>39</v>
      </c>
      <c r="L43" s="54" t="s">
        <v>39</v>
      </c>
      <c r="M43" s="54" t="s">
        <v>39</v>
      </c>
      <c r="N43" s="190"/>
      <c r="O43" s="124"/>
      <c r="P43" s="124"/>
      <c r="Q43" s="124"/>
    </row>
    <row r="44" spans="1:17" ht="36.75" customHeight="1" x14ac:dyDescent="0.25">
      <c r="A44" s="145"/>
      <c r="B44" s="145"/>
      <c r="C44" s="134"/>
      <c r="D44" s="137"/>
      <c r="E44" s="99"/>
      <c r="F44" s="118"/>
      <c r="G44" s="119"/>
      <c r="H44" s="41" t="s">
        <v>11</v>
      </c>
      <c r="I44" s="40">
        <f>SUM(J44:M44)</f>
        <v>0</v>
      </c>
      <c r="J44" s="56">
        <v>0</v>
      </c>
      <c r="K44" s="54" t="s">
        <v>40</v>
      </c>
      <c r="L44" s="54" t="s">
        <v>40</v>
      </c>
      <c r="M44" s="54" t="s">
        <v>40</v>
      </c>
      <c r="N44" s="191"/>
      <c r="O44" s="125"/>
      <c r="P44" s="125"/>
      <c r="Q44" s="125"/>
    </row>
    <row r="45" spans="1:17" s="4" customFormat="1" ht="36.75" customHeight="1" x14ac:dyDescent="0.2">
      <c r="A45" s="145"/>
      <c r="B45" s="145"/>
      <c r="C45" s="132" t="s">
        <v>44</v>
      </c>
      <c r="D45" s="135" t="s">
        <v>139</v>
      </c>
      <c r="E45" s="97" t="s">
        <v>96</v>
      </c>
      <c r="F45" s="101">
        <v>1</v>
      </c>
      <c r="G45" s="101">
        <v>0.5</v>
      </c>
      <c r="H45" s="36" t="s">
        <v>8</v>
      </c>
      <c r="I45" s="37">
        <v>1</v>
      </c>
      <c r="J45" s="42">
        <v>1</v>
      </c>
      <c r="K45" s="56">
        <v>1</v>
      </c>
      <c r="L45" s="160">
        <v>1</v>
      </c>
      <c r="M45" s="162"/>
      <c r="N45" s="189" t="s">
        <v>201</v>
      </c>
      <c r="O45" s="126"/>
      <c r="P45" s="169"/>
      <c r="Q45" s="127"/>
    </row>
    <row r="46" spans="1:17" s="4" customFormat="1" ht="36.75" customHeight="1" x14ac:dyDescent="0.2">
      <c r="A46" s="145"/>
      <c r="B46" s="145"/>
      <c r="C46" s="133"/>
      <c r="D46" s="136"/>
      <c r="E46" s="98"/>
      <c r="F46" s="101"/>
      <c r="G46" s="101"/>
      <c r="H46" s="36" t="s">
        <v>9</v>
      </c>
      <c r="I46" s="38">
        <f>SUM(J46:M46)</f>
        <v>0.92</v>
      </c>
      <c r="J46" s="56">
        <v>0.92</v>
      </c>
      <c r="K46" s="54" t="s">
        <v>38</v>
      </c>
      <c r="L46" s="163"/>
      <c r="M46" s="165"/>
      <c r="N46" s="190"/>
      <c r="O46" s="128"/>
      <c r="P46" s="170"/>
      <c r="Q46" s="129"/>
    </row>
    <row r="47" spans="1:17" ht="36.75" customHeight="1" x14ac:dyDescent="0.25">
      <c r="A47" s="145"/>
      <c r="B47" s="145"/>
      <c r="C47" s="133"/>
      <c r="D47" s="136"/>
      <c r="E47" s="98"/>
      <c r="F47" s="114" t="s">
        <v>10</v>
      </c>
      <c r="G47" s="115"/>
      <c r="H47" s="36" t="s">
        <v>153</v>
      </c>
      <c r="I47" s="39">
        <f>SUM(J47:M47)</f>
        <v>0</v>
      </c>
      <c r="J47" s="53">
        <v>0</v>
      </c>
      <c r="K47" s="57">
        <v>0</v>
      </c>
      <c r="L47" s="163"/>
      <c r="M47" s="165"/>
      <c r="N47" s="190"/>
      <c r="O47" s="128"/>
      <c r="P47" s="170"/>
      <c r="Q47" s="129"/>
    </row>
    <row r="48" spans="1:17" ht="36.75" customHeight="1" x14ac:dyDescent="0.25">
      <c r="A48" s="145"/>
      <c r="B48" s="145"/>
      <c r="C48" s="133"/>
      <c r="D48" s="136"/>
      <c r="E48" s="98"/>
      <c r="F48" s="116"/>
      <c r="G48" s="117"/>
      <c r="H48" s="36" t="s">
        <v>154</v>
      </c>
      <c r="I48" s="39">
        <v>0</v>
      </c>
      <c r="J48" s="57">
        <v>0</v>
      </c>
      <c r="K48" s="57">
        <v>0</v>
      </c>
      <c r="L48" s="163"/>
      <c r="M48" s="165"/>
      <c r="N48" s="190"/>
      <c r="O48" s="128"/>
      <c r="P48" s="170"/>
      <c r="Q48" s="129"/>
    </row>
    <row r="49" spans="1:17" ht="36.75" customHeight="1" x14ac:dyDescent="0.25">
      <c r="A49" s="145"/>
      <c r="B49" s="145"/>
      <c r="C49" s="133"/>
      <c r="D49" s="136"/>
      <c r="E49" s="98"/>
      <c r="F49" s="116"/>
      <c r="G49" s="117"/>
      <c r="H49" s="36" t="s">
        <v>155</v>
      </c>
      <c r="I49" s="40">
        <f>SUM(J49:M49)</f>
        <v>0</v>
      </c>
      <c r="J49" s="57">
        <v>0</v>
      </c>
      <c r="K49" s="54" t="s">
        <v>39</v>
      </c>
      <c r="L49" s="163"/>
      <c r="M49" s="165"/>
      <c r="N49" s="190"/>
      <c r="O49" s="128"/>
      <c r="P49" s="170"/>
      <c r="Q49" s="129"/>
    </row>
    <row r="50" spans="1:17" ht="36.75" customHeight="1" x14ac:dyDescent="0.25">
      <c r="A50" s="145"/>
      <c r="B50" s="145"/>
      <c r="C50" s="134"/>
      <c r="D50" s="137"/>
      <c r="E50" s="99"/>
      <c r="F50" s="118"/>
      <c r="G50" s="119"/>
      <c r="H50" s="41" t="s">
        <v>11</v>
      </c>
      <c r="I50" s="40">
        <f>SUM(J50:M50)</f>
        <v>0</v>
      </c>
      <c r="J50" s="57">
        <v>0</v>
      </c>
      <c r="K50" s="54" t="s">
        <v>40</v>
      </c>
      <c r="L50" s="166"/>
      <c r="M50" s="168"/>
      <c r="N50" s="191"/>
      <c r="O50" s="130"/>
      <c r="P50" s="171"/>
      <c r="Q50" s="131"/>
    </row>
    <row r="51" spans="1:17" s="4" customFormat="1" ht="36.75" customHeight="1" x14ac:dyDescent="0.2">
      <c r="A51" s="145"/>
      <c r="B51" s="145"/>
      <c r="C51" s="132" t="s">
        <v>44</v>
      </c>
      <c r="D51" s="135" t="s">
        <v>130</v>
      </c>
      <c r="E51" s="97" t="s">
        <v>96</v>
      </c>
      <c r="F51" s="101">
        <v>1</v>
      </c>
      <c r="G51" s="101">
        <v>0.5</v>
      </c>
      <c r="H51" s="36" t="s">
        <v>8</v>
      </c>
      <c r="I51" s="37">
        <v>1</v>
      </c>
      <c r="J51" s="42">
        <v>0.25</v>
      </c>
      <c r="K51" s="42">
        <v>0.5</v>
      </c>
      <c r="L51" s="42">
        <v>0.75</v>
      </c>
      <c r="M51" s="42">
        <v>1</v>
      </c>
      <c r="N51" s="189" t="s">
        <v>202</v>
      </c>
      <c r="O51" s="123" t="s">
        <v>20</v>
      </c>
      <c r="P51" s="123" t="s">
        <v>20</v>
      </c>
      <c r="Q51" s="123" t="s">
        <v>20</v>
      </c>
    </row>
    <row r="52" spans="1:17" s="4" customFormat="1" ht="36.75" customHeight="1" x14ac:dyDescent="0.2">
      <c r="A52" s="145"/>
      <c r="B52" s="145"/>
      <c r="C52" s="133"/>
      <c r="D52" s="136"/>
      <c r="E52" s="98"/>
      <c r="F52" s="101"/>
      <c r="G52" s="101"/>
      <c r="H52" s="36" t="s">
        <v>9</v>
      </c>
      <c r="I52" s="38">
        <f>SUM(J52:M52)</f>
        <v>0.25</v>
      </c>
      <c r="J52" s="56">
        <v>0.25</v>
      </c>
      <c r="K52" s="54" t="s">
        <v>38</v>
      </c>
      <c r="L52" s="54" t="s">
        <v>38</v>
      </c>
      <c r="M52" s="54" t="s">
        <v>38</v>
      </c>
      <c r="N52" s="190"/>
      <c r="O52" s="124"/>
      <c r="P52" s="124"/>
      <c r="Q52" s="124"/>
    </row>
    <row r="53" spans="1:17" ht="36.75" customHeight="1" x14ac:dyDescent="0.25">
      <c r="A53" s="145"/>
      <c r="B53" s="145"/>
      <c r="C53" s="133"/>
      <c r="D53" s="136"/>
      <c r="E53" s="98"/>
      <c r="F53" s="114" t="s">
        <v>10</v>
      </c>
      <c r="G53" s="115"/>
      <c r="H53" s="36" t="s">
        <v>153</v>
      </c>
      <c r="I53" s="39">
        <f>SUM(J53:M53)</f>
        <v>1102686000</v>
      </c>
      <c r="J53" s="53">
        <v>169644000</v>
      </c>
      <c r="K53" s="53">
        <v>254466000</v>
      </c>
      <c r="L53" s="53">
        <f>K53</f>
        <v>254466000</v>
      </c>
      <c r="M53" s="53">
        <v>424110000</v>
      </c>
      <c r="N53" s="190"/>
      <c r="O53" s="124"/>
      <c r="P53" s="124"/>
      <c r="Q53" s="124"/>
    </row>
    <row r="54" spans="1:17" ht="36.75" customHeight="1" x14ac:dyDescent="0.25">
      <c r="A54" s="145"/>
      <c r="B54" s="145"/>
      <c r="C54" s="133"/>
      <c r="D54" s="136"/>
      <c r="E54" s="98"/>
      <c r="F54" s="116"/>
      <c r="G54" s="117"/>
      <c r="H54" s="36" t="s">
        <v>154</v>
      </c>
      <c r="I54" s="39">
        <f>SUM(J54:M54)</f>
        <v>1102686000</v>
      </c>
      <c r="J54" s="57">
        <f>(83822000*2)+2000000</f>
        <v>169644000</v>
      </c>
      <c r="K54" s="57">
        <f>(83822000*3)+3000000</f>
        <v>254466000</v>
      </c>
      <c r="L54" s="57">
        <f>K54</f>
        <v>254466000</v>
      </c>
      <c r="M54" s="57">
        <f>(83822000*3)+167644000+5000000</f>
        <v>424110000</v>
      </c>
      <c r="N54" s="190"/>
      <c r="O54" s="124"/>
      <c r="P54" s="124"/>
      <c r="Q54" s="124"/>
    </row>
    <row r="55" spans="1:17" ht="36.75" customHeight="1" x14ac:dyDescent="0.25">
      <c r="A55" s="145"/>
      <c r="B55" s="145"/>
      <c r="C55" s="133"/>
      <c r="D55" s="136"/>
      <c r="E55" s="98"/>
      <c r="F55" s="116"/>
      <c r="G55" s="117"/>
      <c r="H55" s="36" t="s">
        <v>155</v>
      </c>
      <c r="I55" s="40">
        <f>SUM(J55:M55)</f>
        <v>175414882</v>
      </c>
      <c r="J55" s="57">
        <f>J56</f>
        <v>175414882</v>
      </c>
      <c r="K55" s="54" t="s">
        <v>39</v>
      </c>
      <c r="L55" s="54" t="s">
        <v>39</v>
      </c>
      <c r="M55" s="54" t="s">
        <v>39</v>
      </c>
      <c r="N55" s="190"/>
      <c r="O55" s="124"/>
      <c r="P55" s="124"/>
      <c r="Q55" s="124"/>
    </row>
    <row r="56" spans="1:17" ht="36.75" customHeight="1" x14ac:dyDescent="0.25">
      <c r="A56" s="145"/>
      <c r="B56" s="145"/>
      <c r="C56" s="134"/>
      <c r="D56" s="137"/>
      <c r="E56" s="99"/>
      <c r="F56" s="118"/>
      <c r="G56" s="119"/>
      <c r="H56" s="41" t="s">
        <v>11</v>
      </c>
      <c r="I56" s="40">
        <f>SUM(J56:M56)</f>
        <v>175414882</v>
      </c>
      <c r="J56" s="57">
        <f>44594002+43088735+6911265+79820880+1000000</f>
        <v>175414882</v>
      </c>
      <c r="K56" s="54" t="s">
        <v>40</v>
      </c>
      <c r="L56" s="54" t="s">
        <v>40</v>
      </c>
      <c r="M56" s="54" t="s">
        <v>40</v>
      </c>
      <c r="N56" s="191"/>
      <c r="O56" s="125"/>
      <c r="P56" s="125"/>
      <c r="Q56" s="125"/>
    </row>
    <row r="57" spans="1:17" s="15" customFormat="1" x14ac:dyDescent="0.25">
      <c r="A57" s="22"/>
      <c r="B57" s="23"/>
      <c r="C57" s="25"/>
      <c r="D57" s="25"/>
      <c r="E57" s="25"/>
      <c r="F57" s="25"/>
      <c r="G57" s="25"/>
      <c r="H57" s="23"/>
      <c r="I57" s="26"/>
      <c r="J57" s="27"/>
      <c r="K57" s="27"/>
      <c r="L57" s="27"/>
      <c r="M57" s="27"/>
      <c r="N57" s="27"/>
      <c r="O57" s="27"/>
      <c r="P57" s="27"/>
      <c r="Q57" s="25"/>
    </row>
    <row r="58" spans="1:17" s="52" customFormat="1" x14ac:dyDescent="0.25">
      <c r="A58" s="47"/>
      <c r="B58" s="47"/>
      <c r="C58" s="47"/>
      <c r="D58" s="47"/>
      <c r="E58" s="61"/>
      <c r="F58" s="48"/>
      <c r="G58" s="48"/>
      <c r="H58" s="49"/>
      <c r="I58" s="50"/>
      <c r="J58" s="51"/>
      <c r="K58" s="51"/>
      <c r="L58" s="51"/>
      <c r="M58" s="51"/>
      <c r="N58" s="46"/>
      <c r="O58" s="46"/>
      <c r="P58" s="46"/>
      <c r="Q58" s="46"/>
    </row>
    <row r="59" spans="1:17" s="52" customFormat="1" x14ac:dyDescent="0.25">
      <c r="A59" s="47"/>
      <c r="B59" s="47"/>
      <c r="C59" s="47"/>
      <c r="D59" s="47"/>
      <c r="E59" s="61"/>
      <c r="F59" s="48"/>
      <c r="G59" s="48"/>
      <c r="H59" s="49"/>
      <c r="I59" s="50"/>
      <c r="J59" s="51"/>
      <c r="K59" s="51"/>
      <c r="L59" s="51"/>
      <c r="M59" s="51"/>
      <c r="N59" s="46"/>
      <c r="O59" s="46"/>
      <c r="P59" s="46"/>
      <c r="Q59" s="46"/>
    </row>
    <row r="60" spans="1:17" s="52" customFormat="1" x14ac:dyDescent="0.25">
      <c r="A60" s="47"/>
      <c r="B60" s="47"/>
      <c r="C60" s="47"/>
      <c r="D60" s="47"/>
      <c r="E60" s="61"/>
      <c r="F60" s="48"/>
      <c r="G60" s="48"/>
      <c r="H60" s="49"/>
      <c r="I60" s="50"/>
      <c r="J60" s="51"/>
      <c r="K60" s="51"/>
      <c r="L60" s="51"/>
      <c r="M60" s="51"/>
      <c r="N60" s="46"/>
      <c r="O60" s="46"/>
      <c r="P60" s="46"/>
      <c r="Q60" s="46"/>
    </row>
    <row r="61" spans="1:17" ht="21.75" customHeight="1" x14ac:dyDescent="0.25">
      <c r="A61" s="16"/>
      <c r="B61" s="28" t="s">
        <v>14</v>
      </c>
      <c r="C61" s="29" t="s">
        <v>41</v>
      </c>
      <c r="D61" s="29"/>
      <c r="E61" s="96"/>
      <c r="F61" s="28"/>
      <c r="G61" s="28"/>
      <c r="H61" s="28"/>
      <c r="I61" s="30"/>
      <c r="J61" s="28" t="s">
        <v>15</v>
      </c>
      <c r="K61" s="29" t="s">
        <v>42</v>
      </c>
      <c r="L61" s="29"/>
      <c r="M61" s="29"/>
      <c r="N61" s="29"/>
      <c r="O61" s="29"/>
      <c r="P61" s="29"/>
      <c r="Q61" s="29"/>
    </row>
    <row r="62" spans="1:17" ht="36.75" customHeight="1" x14ac:dyDescent="0.25">
      <c r="A62" s="16"/>
      <c r="B62" s="28" t="s">
        <v>13</v>
      </c>
      <c r="C62" s="29" t="s">
        <v>43</v>
      </c>
      <c r="D62" s="29"/>
      <c r="E62" s="96"/>
      <c r="F62" s="31" t="s">
        <v>12</v>
      </c>
      <c r="G62" s="175" t="s">
        <v>160</v>
      </c>
      <c r="H62" s="175"/>
      <c r="I62" s="28"/>
      <c r="J62" s="28" t="s">
        <v>16</v>
      </c>
      <c r="K62" s="29" t="s">
        <v>43</v>
      </c>
      <c r="L62" s="29"/>
      <c r="M62" s="29"/>
      <c r="N62" s="29"/>
      <c r="O62" s="29"/>
      <c r="P62" s="29"/>
      <c r="Q62" s="29"/>
    </row>
    <row r="63" spans="1:17" ht="15.75" x14ac:dyDescent="0.25">
      <c r="A63" s="16"/>
      <c r="B63" s="28"/>
      <c r="C63" s="28"/>
      <c r="D63" s="28"/>
      <c r="E63" s="28"/>
      <c r="F63" s="28"/>
      <c r="G63" s="28"/>
      <c r="H63" s="28"/>
      <c r="I63" s="32"/>
      <c r="J63" s="28"/>
      <c r="K63" s="28"/>
      <c r="L63" s="28"/>
      <c r="M63" s="28"/>
      <c r="N63" s="28"/>
      <c r="O63" s="28"/>
      <c r="P63" s="28"/>
      <c r="Q63" s="28"/>
    </row>
    <row r="64" spans="1:17" x14ac:dyDescent="0.25">
      <c r="A64" s="16"/>
      <c r="B64" s="17"/>
      <c r="C64" s="18"/>
      <c r="D64" s="19"/>
      <c r="E64" s="19"/>
      <c r="F64" s="19"/>
      <c r="G64" s="19"/>
      <c r="H64" s="19"/>
      <c r="I64" s="33"/>
      <c r="J64" s="17"/>
      <c r="K64" s="17"/>
      <c r="L64" s="17"/>
      <c r="M64" s="17"/>
      <c r="N64" s="17"/>
      <c r="O64" s="17"/>
      <c r="P64" s="17"/>
      <c r="Q64" s="17"/>
    </row>
    <row r="65" spans="1:17" x14ac:dyDescent="0.25">
      <c r="A65" s="16"/>
      <c r="B65" s="17"/>
      <c r="C65" s="18"/>
      <c r="D65" s="19"/>
      <c r="E65" s="19"/>
      <c r="F65" s="19"/>
      <c r="G65" s="19"/>
      <c r="H65" s="17"/>
      <c r="I65" s="20"/>
      <c r="J65" s="17"/>
      <c r="K65" s="17"/>
      <c r="L65" s="17"/>
      <c r="M65" s="17"/>
      <c r="N65" s="17"/>
      <c r="O65" s="17"/>
      <c r="P65" s="17"/>
      <c r="Q65" s="17"/>
    </row>
    <row r="66" spans="1:17" x14ac:dyDescent="0.25">
      <c r="A66" s="16"/>
      <c r="B66" s="17"/>
      <c r="C66" s="18"/>
      <c r="D66" s="19"/>
      <c r="E66" s="19"/>
      <c r="F66" s="19"/>
      <c r="G66" s="19"/>
      <c r="H66" s="17"/>
      <c r="I66" s="20"/>
      <c r="J66" s="17"/>
      <c r="K66" s="17"/>
      <c r="L66" s="17"/>
      <c r="M66" s="17"/>
      <c r="N66" s="17"/>
      <c r="O66" s="17"/>
      <c r="P66" s="17"/>
      <c r="Q66" s="17"/>
    </row>
    <row r="67" spans="1:17" x14ac:dyDescent="0.25">
      <c r="A67" s="16"/>
      <c r="B67" s="17"/>
      <c r="C67" s="18"/>
      <c r="D67" s="19"/>
      <c r="E67" s="19"/>
      <c r="F67" s="19"/>
      <c r="G67" s="19"/>
      <c r="H67" s="17"/>
      <c r="I67" s="20"/>
      <c r="J67" s="21"/>
      <c r="K67" s="21"/>
      <c r="L67" s="21"/>
      <c r="M67" s="21"/>
      <c r="N67" s="21"/>
      <c r="O67" s="21"/>
      <c r="P67" s="21"/>
      <c r="Q67" s="19"/>
    </row>
    <row r="68" spans="1:17" x14ac:dyDescent="0.25">
      <c r="L68" s="7"/>
      <c r="M68" s="7"/>
      <c r="N68" s="7"/>
      <c r="O68" s="7"/>
      <c r="P68" s="7"/>
    </row>
    <row r="69" spans="1:17" x14ac:dyDescent="0.25">
      <c r="L69" s="7"/>
      <c r="M69" s="7"/>
      <c r="N69" s="7"/>
      <c r="O69" s="7"/>
      <c r="P69" s="7"/>
    </row>
    <row r="70" spans="1:17" x14ac:dyDescent="0.25">
      <c r="L70" s="7"/>
      <c r="M70" s="7"/>
      <c r="N70" s="7"/>
      <c r="O70" s="7"/>
      <c r="P70" s="7"/>
    </row>
    <row r="71" spans="1:17" x14ac:dyDescent="0.25">
      <c r="L71" s="7"/>
      <c r="M71" s="7"/>
      <c r="N71" s="7"/>
      <c r="O71" s="7"/>
      <c r="P71" s="7"/>
    </row>
    <row r="72" spans="1:17" x14ac:dyDescent="0.25">
      <c r="L72" s="7"/>
      <c r="M72" s="7"/>
      <c r="N72" s="7"/>
      <c r="O72" s="7"/>
      <c r="P72" s="7"/>
    </row>
    <row r="73" spans="1:17" x14ac:dyDescent="0.25">
      <c r="L73" s="7"/>
      <c r="M73" s="7"/>
      <c r="N73" s="7"/>
      <c r="O73" s="7"/>
      <c r="P73" s="7"/>
    </row>
    <row r="74" spans="1:17" x14ac:dyDescent="0.25">
      <c r="L74" s="7"/>
      <c r="M74" s="7"/>
      <c r="N74" s="7"/>
      <c r="O74" s="7"/>
      <c r="P74" s="7"/>
    </row>
    <row r="75" spans="1:17" x14ac:dyDescent="0.25">
      <c r="L75" s="7"/>
      <c r="M75" s="7"/>
      <c r="N75" s="7"/>
      <c r="O75" s="7"/>
      <c r="P75" s="7"/>
    </row>
    <row r="76" spans="1:17" x14ac:dyDescent="0.25">
      <c r="L76" s="7"/>
      <c r="M76" s="7"/>
      <c r="N76" s="7"/>
      <c r="O76" s="7"/>
      <c r="P76" s="7"/>
    </row>
    <row r="77" spans="1:17" x14ac:dyDescent="0.25">
      <c r="L77" s="7"/>
      <c r="M77" s="7"/>
      <c r="N77" s="7"/>
      <c r="O77" s="7"/>
      <c r="P77" s="7"/>
    </row>
    <row r="78" spans="1:17" x14ac:dyDescent="0.25">
      <c r="L78" s="7"/>
      <c r="M78" s="7"/>
      <c r="N78" s="7"/>
      <c r="O78" s="7"/>
      <c r="P78" s="7"/>
    </row>
    <row r="79" spans="1:17" x14ac:dyDescent="0.25">
      <c r="L79" s="7"/>
      <c r="M79" s="7"/>
      <c r="N79" s="7"/>
      <c r="O79" s="7"/>
      <c r="P79" s="7"/>
    </row>
    <row r="80" spans="1:17" s="5" customFormat="1" ht="12.75" x14ac:dyDescent="0.2">
      <c r="A80" s="2"/>
      <c r="B80" s="3"/>
      <c r="C80" s="4"/>
      <c r="H80" s="3"/>
      <c r="I80" s="6"/>
      <c r="J80" s="7"/>
      <c r="K80" s="7"/>
      <c r="L80" s="7"/>
      <c r="M80" s="7"/>
      <c r="N80" s="7"/>
      <c r="O80" s="7"/>
      <c r="P80" s="7"/>
    </row>
    <row r="81" spans="1:16" s="5" customFormat="1" ht="12.75" x14ac:dyDescent="0.2">
      <c r="A81" s="2"/>
      <c r="B81" s="3"/>
      <c r="C81" s="4"/>
      <c r="H81" s="3"/>
      <c r="I81" s="6"/>
      <c r="J81" s="7"/>
      <c r="K81" s="7"/>
      <c r="L81" s="7"/>
      <c r="M81" s="7"/>
      <c r="N81" s="7"/>
      <c r="O81" s="7"/>
      <c r="P81" s="7"/>
    </row>
    <row r="82" spans="1:16" s="5" customFormat="1" ht="12.75" x14ac:dyDescent="0.2">
      <c r="A82" s="2"/>
      <c r="B82" s="3"/>
      <c r="C82" s="4"/>
      <c r="H82" s="3"/>
      <c r="I82" s="6"/>
      <c r="J82" s="7"/>
      <c r="K82" s="7"/>
      <c r="L82" s="7"/>
      <c r="M82" s="7"/>
      <c r="N82" s="7"/>
      <c r="O82" s="7"/>
      <c r="P82" s="7"/>
    </row>
    <row r="83" spans="1:16" s="5" customFormat="1" ht="12.75" x14ac:dyDescent="0.2">
      <c r="A83" s="2"/>
      <c r="B83" s="3"/>
      <c r="C83" s="4"/>
      <c r="H83" s="3"/>
      <c r="I83" s="6"/>
      <c r="J83" s="7"/>
      <c r="K83" s="7"/>
      <c r="L83" s="7"/>
      <c r="M83" s="7"/>
      <c r="N83" s="7"/>
      <c r="O83" s="7"/>
      <c r="P83" s="7"/>
    </row>
    <row r="84" spans="1:16" s="5" customFormat="1" ht="12.75" x14ac:dyDescent="0.2">
      <c r="A84" s="2"/>
      <c r="B84" s="3"/>
      <c r="C84" s="4"/>
      <c r="H84" s="3"/>
      <c r="I84" s="6"/>
      <c r="J84" s="7"/>
      <c r="K84" s="7"/>
      <c r="L84" s="7"/>
      <c r="M84" s="7"/>
      <c r="N84" s="7"/>
      <c r="O84" s="7"/>
      <c r="P84" s="7"/>
    </row>
    <row r="85" spans="1:16" s="5" customFormat="1" ht="12.75" x14ac:dyDescent="0.2">
      <c r="A85" s="2"/>
      <c r="B85" s="3"/>
      <c r="C85" s="4"/>
      <c r="H85" s="3"/>
      <c r="I85" s="6"/>
      <c r="J85" s="7"/>
      <c r="K85" s="7"/>
      <c r="L85" s="7"/>
      <c r="M85" s="7"/>
      <c r="N85" s="7"/>
      <c r="O85" s="7"/>
      <c r="P85" s="7"/>
    </row>
    <row r="86" spans="1:16" s="5" customFormat="1" ht="12.75" x14ac:dyDescent="0.2">
      <c r="A86" s="2"/>
      <c r="B86" s="3"/>
      <c r="C86" s="4"/>
      <c r="H86" s="3"/>
      <c r="I86" s="6"/>
      <c r="J86" s="7"/>
      <c r="K86" s="7"/>
      <c r="L86" s="7"/>
      <c r="M86" s="7"/>
      <c r="N86" s="7"/>
      <c r="O86" s="7"/>
      <c r="P86" s="7"/>
    </row>
    <row r="87" spans="1:16" s="5" customFormat="1" ht="12.75" x14ac:dyDescent="0.2">
      <c r="A87" s="2"/>
      <c r="B87" s="3"/>
      <c r="C87" s="4"/>
      <c r="H87" s="3"/>
      <c r="I87" s="6"/>
      <c r="J87" s="7"/>
      <c r="K87" s="7"/>
      <c r="L87" s="7"/>
      <c r="M87" s="7"/>
      <c r="N87" s="7"/>
      <c r="O87" s="7"/>
      <c r="P87" s="7"/>
    </row>
    <row r="88" spans="1:16" s="5" customFormat="1" ht="12.75" x14ac:dyDescent="0.2">
      <c r="A88" s="2"/>
      <c r="B88" s="3"/>
      <c r="C88" s="4"/>
      <c r="H88" s="3"/>
      <c r="I88" s="6"/>
      <c r="J88" s="7"/>
      <c r="K88" s="7"/>
      <c r="L88" s="7"/>
      <c r="M88" s="7"/>
      <c r="N88" s="7"/>
      <c r="O88" s="7"/>
      <c r="P88" s="7"/>
    </row>
    <row r="89" spans="1:16" s="5" customFormat="1" ht="12.75" x14ac:dyDescent="0.2">
      <c r="A89" s="2"/>
      <c r="B89" s="3"/>
      <c r="C89" s="4"/>
      <c r="H89" s="3"/>
      <c r="I89" s="6"/>
      <c r="J89" s="7"/>
      <c r="K89" s="7"/>
      <c r="L89" s="7"/>
      <c r="M89" s="7"/>
      <c r="N89" s="7"/>
      <c r="O89" s="7"/>
      <c r="P89" s="7"/>
    </row>
    <row r="90" spans="1:16" s="5" customFormat="1" ht="12.75" x14ac:dyDescent="0.2">
      <c r="A90" s="2"/>
      <c r="B90" s="3"/>
      <c r="C90" s="4"/>
      <c r="H90" s="3"/>
      <c r="I90" s="6"/>
      <c r="J90" s="7"/>
      <c r="K90" s="7"/>
      <c r="L90" s="7"/>
      <c r="M90" s="7"/>
      <c r="N90" s="7"/>
      <c r="O90" s="7"/>
      <c r="P90" s="7"/>
    </row>
    <row r="91" spans="1:16" s="5" customFormat="1" ht="12.75" x14ac:dyDescent="0.2">
      <c r="A91" s="2"/>
      <c r="B91" s="3"/>
      <c r="C91" s="4"/>
      <c r="H91" s="3"/>
      <c r="I91" s="6"/>
      <c r="J91" s="7"/>
      <c r="K91" s="7"/>
      <c r="L91" s="7"/>
      <c r="M91" s="7"/>
      <c r="N91" s="7"/>
      <c r="O91" s="7"/>
      <c r="P91" s="7"/>
    </row>
  </sheetData>
  <mergeCells count="96">
    <mergeCell ref="O33:O38"/>
    <mergeCell ref="P33:P38"/>
    <mergeCell ref="Q33:Q38"/>
    <mergeCell ref="G51:G52"/>
    <mergeCell ref="C51:C56"/>
    <mergeCell ref="G62:H62"/>
    <mergeCell ref="F53:G56"/>
    <mergeCell ref="L45:M50"/>
    <mergeCell ref="N51:N56"/>
    <mergeCell ref="O51:O56"/>
    <mergeCell ref="P51:P56"/>
    <mergeCell ref="C45:C50"/>
    <mergeCell ref="F15:G18"/>
    <mergeCell ref="C13:C18"/>
    <mergeCell ref="D13:D18"/>
    <mergeCell ref="F13:F14"/>
    <mergeCell ref="G13:G14"/>
    <mergeCell ref="C27:C32"/>
    <mergeCell ref="D27:D32"/>
    <mergeCell ref="E51:E56"/>
    <mergeCell ref="O45:Q50"/>
    <mergeCell ref="F23:G26"/>
    <mergeCell ref="Q51:Q56"/>
    <mergeCell ref="F51:F52"/>
    <mergeCell ref="N21:N26"/>
    <mergeCell ref="F27:F28"/>
    <mergeCell ref="G27:G28"/>
    <mergeCell ref="N27:N32"/>
    <mergeCell ref="N33:N38"/>
    <mergeCell ref="O27:Q32"/>
    <mergeCell ref="A21:A56"/>
    <mergeCell ref="B21:B56"/>
    <mergeCell ref="A20:Q20"/>
    <mergeCell ref="C21:C26"/>
    <mergeCell ref="D21:D26"/>
    <mergeCell ref="F21:F22"/>
    <mergeCell ref="G21:G22"/>
    <mergeCell ref="O21:O26"/>
    <mergeCell ref="P21:P26"/>
    <mergeCell ref="Q21:Q26"/>
    <mergeCell ref="D45:D50"/>
    <mergeCell ref="F45:F46"/>
    <mergeCell ref="G45:G46"/>
    <mergeCell ref="N45:N50"/>
    <mergeCell ref="D51:D56"/>
    <mergeCell ref="B7:B12"/>
    <mergeCell ref="B13:B18"/>
    <mergeCell ref="N7:N12"/>
    <mergeCell ref="O7:O12"/>
    <mergeCell ref="P7:P12"/>
    <mergeCell ref="F9:G12"/>
    <mergeCell ref="E7:E12"/>
    <mergeCell ref="D7:D12"/>
    <mergeCell ref="F7:F8"/>
    <mergeCell ref="G7:G8"/>
    <mergeCell ref="Q7:Q12"/>
    <mergeCell ref="N13:N18"/>
    <mergeCell ref="O13:O18"/>
    <mergeCell ref="P13:P18"/>
    <mergeCell ref="Q13:Q18"/>
    <mergeCell ref="K27:M32"/>
    <mergeCell ref="F29:G32"/>
    <mergeCell ref="A1:Q1"/>
    <mergeCell ref="A3:A4"/>
    <mergeCell ref="B3:B4"/>
    <mergeCell ref="C3:C4"/>
    <mergeCell ref="D3:D4"/>
    <mergeCell ref="F3:F4"/>
    <mergeCell ref="G3:G4"/>
    <mergeCell ref="H3:M3"/>
    <mergeCell ref="H4:I4"/>
    <mergeCell ref="E3:E4"/>
    <mergeCell ref="A6:Q6"/>
    <mergeCell ref="A7:A18"/>
    <mergeCell ref="C7:C12"/>
    <mergeCell ref="G33:G34"/>
    <mergeCell ref="E13:E18"/>
    <mergeCell ref="E21:E26"/>
    <mergeCell ref="E27:E32"/>
    <mergeCell ref="E45:E50"/>
    <mergeCell ref="F47:G50"/>
    <mergeCell ref="F35:G38"/>
    <mergeCell ref="C39:C44"/>
    <mergeCell ref="D39:D44"/>
    <mergeCell ref="E39:E44"/>
    <mergeCell ref="F39:F40"/>
    <mergeCell ref="G39:G40"/>
    <mergeCell ref="N39:N44"/>
    <mergeCell ref="O39:O44"/>
    <mergeCell ref="P39:P44"/>
    <mergeCell ref="Q39:Q44"/>
    <mergeCell ref="F41:G44"/>
    <mergeCell ref="C33:C38"/>
    <mergeCell ref="D33:D38"/>
    <mergeCell ref="E33:E38"/>
    <mergeCell ref="F33:F34"/>
  </mergeCells>
  <pageMargins left="0.31496062992125984" right="0.31496062992125984" top="0.35433070866141736" bottom="0.35433070866141736" header="0" footer="0"/>
  <pageSetup scale="39" orientation="landscape" horizontalDpi="300" verticalDpi="300" r:id="rId1"/>
  <headerFooter>
    <oddFooter>&amp;C&amp;G
4204000-FT-1138 Versión 01</oddFooter>
  </headerFooter>
  <ignoredErrors>
    <ignoredError sqref="I8 I22" unlockedFormula="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685E9-2FD6-4A3B-88E9-D09CE5CEDD30}">
  <dimension ref="B3:O17"/>
  <sheetViews>
    <sheetView zoomScale="90" zoomScaleNormal="90" workbookViewId="0"/>
  </sheetViews>
  <sheetFormatPr baseColWidth="10" defaultRowHeight="12.75" x14ac:dyDescent="0.2"/>
  <cols>
    <col min="1" max="1" width="11.42578125" style="67"/>
    <col min="2" max="2" width="24.5703125" style="67" customWidth="1"/>
    <col min="3" max="3" width="9.5703125" style="67" customWidth="1"/>
    <col min="4" max="4" width="11.42578125" style="67"/>
    <col min="5" max="5" width="46.42578125" style="67" customWidth="1"/>
    <col min="6" max="6" width="23.140625" style="67" customWidth="1"/>
    <col min="7" max="7" width="33" style="78" customWidth="1"/>
    <col min="8" max="8" width="15.28515625" style="78" customWidth="1"/>
    <col min="9" max="9" width="15.140625" style="78" customWidth="1"/>
    <col min="10" max="10" width="15.5703125" style="78" customWidth="1"/>
    <col min="11" max="11" width="15.28515625" style="78" customWidth="1"/>
    <col min="12" max="12" width="15.140625" style="78" customWidth="1"/>
    <col min="13" max="14" width="15.5703125" style="78" customWidth="1"/>
    <col min="15" max="15" width="22" style="78" customWidth="1"/>
    <col min="16" max="16384" width="11.42578125" style="67"/>
  </cols>
  <sheetData>
    <row r="3" spans="2:15" ht="15" x14ac:dyDescent="0.25">
      <c r="H3" s="177" t="s">
        <v>126</v>
      </c>
      <c r="I3" s="178"/>
      <c r="J3" s="179"/>
      <c r="K3" s="177" t="s">
        <v>70</v>
      </c>
      <c r="L3" s="178"/>
      <c r="M3" s="179"/>
      <c r="N3" s="88"/>
    </row>
    <row r="4" spans="2:15" ht="25.5" x14ac:dyDescent="0.2">
      <c r="B4" s="68" t="s">
        <v>66</v>
      </c>
      <c r="C4" s="68" t="s">
        <v>125</v>
      </c>
      <c r="D4" s="68" t="s">
        <v>124</v>
      </c>
      <c r="E4" s="68" t="s">
        <v>51</v>
      </c>
      <c r="F4" s="68" t="s">
        <v>121</v>
      </c>
      <c r="G4" s="68" t="s">
        <v>56</v>
      </c>
      <c r="H4" s="68" t="s">
        <v>52</v>
      </c>
      <c r="I4" s="68" t="s">
        <v>53</v>
      </c>
      <c r="J4" s="68" t="s">
        <v>54</v>
      </c>
      <c r="K4" s="68" t="s">
        <v>52</v>
      </c>
      <c r="L4" s="68" t="s">
        <v>53</v>
      </c>
      <c r="M4" s="68" t="s">
        <v>54</v>
      </c>
      <c r="N4" s="68" t="s">
        <v>119</v>
      </c>
      <c r="O4" s="68"/>
    </row>
    <row r="5" spans="2:15" x14ac:dyDescent="0.2">
      <c r="B5" s="180" t="s">
        <v>49</v>
      </c>
      <c r="C5" s="80"/>
      <c r="D5" s="71">
        <v>64</v>
      </c>
      <c r="E5" s="81" t="s">
        <v>55</v>
      </c>
      <c r="F5" s="91" t="s">
        <v>122</v>
      </c>
      <c r="G5" s="82">
        <v>54719185</v>
      </c>
      <c r="H5" s="79"/>
      <c r="I5" s="79"/>
      <c r="J5" s="79"/>
      <c r="K5" s="79">
        <v>0</v>
      </c>
      <c r="L5" s="79">
        <v>2854914</v>
      </c>
      <c r="M5" s="79">
        <v>4758190</v>
      </c>
      <c r="N5" s="79">
        <f>SUM(K5:M5)</f>
        <v>7613104</v>
      </c>
      <c r="O5" s="82">
        <v>12371294</v>
      </c>
    </row>
    <row r="6" spans="2:15" x14ac:dyDescent="0.2">
      <c r="B6" s="180"/>
      <c r="C6" s="80">
        <v>53</v>
      </c>
      <c r="D6" s="71">
        <v>551</v>
      </c>
      <c r="E6" s="71" t="s">
        <v>57</v>
      </c>
      <c r="F6" s="87" t="s">
        <v>101</v>
      </c>
      <c r="G6" s="79">
        <v>63442530</v>
      </c>
      <c r="H6" s="79">
        <v>0</v>
      </c>
      <c r="I6" s="79">
        <v>6344253</v>
      </c>
      <c r="J6" s="79">
        <v>5921303</v>
      </c>
      <c r="K6" s="79">
        <v>0</v>
      </c>
      <c r="L6" s="79">
        <v>0</v>
      </c>
      <c r="M6" s="79">
        <v>0</v>
      </c>
      <c r="N6" s="90">
        <f t="shared" ref="N6:N14" si="0">SUM(K6:M6)</f>
        <v>0</v>
      </c>
      <c r="O6" s="79">
        <v>6344253</v>
      </c>
    </row>
    <row r="7" spans="2:15" x14ac:dyDescent="0.2">
      <c r="B7" s="180"/>
      <c r="C7" s="80"/>
      <c r="D7" s="71">
        <v>152</v>
      </c>
      <c r="E7" s="71" t="s">
        <v>58</v>
      </c>
      <c r="F7" s="87" t="s">
        <v>122</v>
      </c>
      <c r="G7" s="79">
        <v>82078778</v>
      </c>
      <c r="H7" s="79"/>
      <c r="I7" s="79"/>
      <c r="J7" s="79"/>
      <c r="K7" s="79">
        <v>0</v>
      </c>
      <c r="L7" s="79">
        <v>3092824</v>
      </c>
      <c r="M7" s="79">
        <v>7137285</v>
      </c>
      <c r="N7" s="79">
        <f t="shared" si="0"/>
        <v>10230109</v>
      </c>
      <c r="O7" s="79">
        <v>17367394</v>
      </c>
    </row>
    <row r="8" spans="2:15" x14ac:dyDescent="0.2">
      <c r="B8" s="180"/>
      <c r="C8" s="80"/>
      <c r="D8" s="71">
        <v>67</v>
      </c>
      <c r="E8" s="71" t="s">
        <v>59</v>
      </c>
      <c r="F8" s="87" t="s">
        <v>96</v>
      </c>
      <c r="G8" s="79">
        <v>82078778</v>
      </c>
      <c r="H8" s="79"/>
      <c r="I8" s="79"/>
      <c r="J8" s="79"/>
      <c r="K8" s="79">
        <v>0</v>
      </c>
      <c r="L8" s="79">
        <v>4282371</v>
      </c>
      <c r="M8" s="79">
        <v>7137285</v>
      </c>
      <c r="N8" s="79">
        <f t="shared" si="0"/>
        <v>11419656</v>
      </c>
      <c r="O8" s="79">
        <v>18556941</v>
      </c>
    </row>
    <row r="9" spans="2:15" x14ac:dyDescent="0.2">
      <c r="B9" s="180"/>
      <c r="C9" s="80">
        <v>192</v>
      </c>
      <c r="D9" s="71">
        <v>556</v>
      </c>
      <c r="E9" s="71" t="s">
        <v>60</v>
      </c>
      <c r="F9" s="87" t="s">
        <v>122</v>
      </c>
      <c r="G9" s="79">
        <v>93112493</v>
      </c>
      <c r="H9" s="79">
        <v>0</v>
      </c>
      <c r="I9" s="79">
        <f>629139+8807938</f>
        <v>9437077</v>
      </c>
      <c r="J9" s="79">
        <v>9437077</v>
      </c>
      <c r="K9" s="79">
        <v>0</v>
      </c>
      <c r="L9" s="79">
        <v>0</v>
      </c>
      <c r="M9" s="79">
        <v>0</v>
      </c>
      <c r="N9" s="90">
        <f t="shared" si="0"/>
        <v>0</v>
      </c>
      <c r="O9" s="79">
        <v>7864231</v>
      </c>
    </row>
    <row r="10" spans="2:15" x14ac:dyDescent="0.2">
      <c r="B10" s="180"/>
      <c r="C10" s="80"/>
      <c r="D10" s="71">
        <v>148</v>
      </c>
      <c r="E10" s="83" t="s">
        <v>61</v>
      </c>
      <c r="F10" s="87" t="s">
        <v>104</v>
      </c>
      <c r="G10" s="79">
        <v>4498340</v>
      </c>
      <c r="H10" s="79"/>
      <c r="I10" s="79"/>
      <c r="J10" s="79"/>
      <c r="K10" s="79">
        <v>0</v>
      </c>
      <c r="L10" s="79">
        <v>4498348</v>
      </c>
      <c r="M10" s="79">
        <v>0</v>
      </c>
      <c r="N10" s="79">
        <f t="shared" si="0"/>
        <v>4498348</v>
      </c>
      <c r="O10" s="79">
        <v>4498340</v>
      </c>
    </row>
    <row r="11" spans="2:15" x14ac:dyDescent="0.2">
      <c r="B11" s="180"/>
      <c r="C11" s="80"/>
      <c r="D11" s="71">
        <v>396</v>
      </c>
      <c r="E11" s="71" t="s">
        <v>62</v>
      </c>
      <c r="F11" s="87" t="s">
        <v>123</v>
      </c>
      <c r="G11" s="79">
        <v>102459691</v>
      </c>
      <c r="H11" s="79"/>
      <c r="I11" s="79"/>
      <c r="J11" s="79"/>
      <c r="K11" s="79">
        <v>0</v>
      </c>
      <c r="L11" s="79">
        <v>0</v>
      </c>
      <c r="M11" s="79">
        <v>5075403</v>
      </c>
      <c r="N11" s="79">
        <f t="shared" si="0"/>
        <v>5075403</v>
      </c>
      <c r="O11" s="79">
        <v>14591783</v>
      </c>
    </row>
    <row r="12" spans="2:15" x14ac:dyDescent="0.2">
      <c r="B12" s="180"/>
      <c r="C12" s="80"/>
      <c r="D12" s="71">
        <v>18</v>
      </c>
      <c r="E12" s="83" t="s">
        <v>63</v>
      </c>
      <c r="F12" s="87" t="s">
        <v>122</v>
      </c>
      <c r="G12" s="79">
        <v>130231658</v>
      </c>
      <c r="H12" s="79"/>
      <c r="I12" s="79"/>
      <c r="J12" s="79"/>
      <c r="K12" s="79">
        <v>0</v>
      </c>
      <c r="L12" s="79">
        <v>7549661</v>
      </c>
      <c r="M12" s="79">
        <v>11324492</v>
      </c>
      <c r="N12" s="79">
        <f t="shared" si="0"/>
        <v>18874153</v>
      </c>
      <c r="O12" s="79">
        <v>30198645</v>
      </c>
    </row>
    <row r="13" spans="2:15" x14ac:dyDescent="0.2">
      <c r="B13" s="180"/>
      <c r="C13" s="80"/>
      <c r="D13" s="71">
        <v>22</v>
      </c>
      <c r="E13" s="71" t="s">
        <v>64</v>
      </c>
      <c r="F13" s="87" t="s">
        <v>96</v>
      </c>
      <c r="G13" s="79">
        <v>141084300</v>
      </c>
      <c r="H13" s="79"/>
      <c r="I13" s="79"/>
      <c r="J13" s="79"/>
      <c r="K13" s="79">
        <v>0</v>
      </c>
      <c r="L13" s="79">
        <v>7769860</v>
      </c>
      <c r="M13" s="79">
        <v>12268200</v>
      </c>
      <c r="N13" s="79">
        <f t="shared" si="0"/>
        <v>20038060</v>
      </c>
      <c r="O13" s="79">
        <v>32306260</v>
      </c>
    </row>
    <row r="14" spans="2:15" x14ac:dyDescent="0.2">
      <c r="B14" s="180"/>
      <c r="C14" s="80"/>
      <c r="D14" s="71">
        <v>547</v>
      </c>
      <c r="E14" s="83" t="s">
        <v>65</v>
      </c>
      <c r="F14" s="87" t="s">
        <v>104</v>
      </c>
      <c r="G14" s="79">
        <v>95163800</v>
      </c>
      <c r="H14" s="79"/>
      <c r="I14" s="79"/>
      <c r="J14" s="79"/>
      <c r="K14" s="79">
        <v>0</v>
      </c>
      <c r="L14" s="79">
        <v>0</v>
      </c>
      <c r="M14" s="79">
        <v>0</v>
      </c>
      <c r="N14" s="79">
        <f t="shared" si="0"/>
        <v>0</v>
      </c>
      <c r="O14" s="79">
        <v>9516380</v>
      </c>
    </row>
    <row r="15" spans="2:15" x14ac:dyDescent="0.2">
      <c r="C15" s="93">
        <v>61</v>
      </c>
      <c r="D15" s="71"/>
      <c r="E15" s="71" t="s">
        <v>120</v>
      </c>
      <c r="F15" s="71" t="s">
        <v>22</v>
      </c>
      <c r="G15" s="79"/>
      <c r="H15" s="79">
        <v>0</v>
      </c>
      <c r="I15" s="79">
        <v>8723348</v>
      </c>
      <c r="J15" s="79">
        <v>0</v>
      </c>
      <c r="K15" s="79"/>
      <c r="L15" s="79"/>
      <c r="M15" s="79"/>
      <c r="N15" s="79"/>
      <c r="O15" s="79"/>
    </row>
    <row r="17" spans="7:14" x14ac:dyDescent="0.2">
      <c r="G17" s="78">
        <f>SUM(G5:G16)-G10-G12-G14</f>
        <v>618975755</v>
      </c>
      <c r="J17" s="78">
        <f>SUM(H5:J15)</f>
        <v>39863058</v>
      </c>
      <c r="N17" s="78">
        <f>SUM(N5:N9,N11,N13)</f>
        <v>54376332</v>
      </c>
    </row>
  </sheetData>
  <mergeCells count="3">
    <mergeCell ref="K3:M3"/>
    <mergeCell ref="B5:B14"/>
    <mergeCell ref="H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BDB9-B644-4705-8FC4-4F9E26791592}">
  <dimension ref="B2:V50"/>
  <sheetViews>
    <sheetView zoomScale="80" zoomScaleNormal="80" workbookViewId="0">
      <selection activeCell="L10" sqref="L10"/>
    </sheetView>
  </sheetViews>
  <sheetFormatPr baseColWidth="10" defaultRowHeight="12.75" x14ac:dyDescent="0.2"/>
  <cols>
    <col min="1" max="1" width="4" style="67" customWidth="1"/>
    <col min="2" max="2" width="35.85546875" style="67" customWidth="1"/>
    <col min="3" max="3" width="52.140625" style="67" customWidth="1"/>
    <col min="4" max="4" width="16.140625" style="67" customWidth="1"/>
    <col min="5" max="5" width="19.85546875" style="67" customWidth="1"/>
    <col min="6" max="6" width="17.42578125" style="67" bestFit="1" customWidth="1"/>
    <col min="7" max="7" width="18.7109375" style="67" customWidth="1"/>
    <col min="8" max="8" width="18.140625" style="67" customWidth="1"/>
    <col min="9" max="9" width="14.85546875" style="67" bestFit="1" customWidth="1"/>
    <col min="10" max="10" width="16.5703125" style="67" customWidth="1"/>
    <col min="11" max="11" width="17.140625" style="67" bestFit="1" customWidth="1"/>
    <col min="12" max="12" width="20.85546875" style="67" customWidth="1"/>
    <col min="13" max="13" width="24.85546875" style="67" customWidth="1"/>
    <col min="14" max="15" width="22.85546875" style="67" customWidth="1"/>
    <col min="16" max="16" width="15.28515625" style="67" customWidth="1"/>
    <col min="17" max="17" width="18.28515625" style="67" customWidth="1"/>
    <col min="18" max="18" width="17.140625" style="67" customWidth="1"/>
    <col min="19" max="16384" width="11.42578125" style="67"/>
  </cols>
  <sheetData>
    <row r="2" spans="2:22" ht="12.75" customHeight="1" x14ac:dyDescent="0.2">
      <c r="B2" s="187" t="s">
        <v>69</v>
      </c>
      <c r="C2" s="187"/>
      <c r="D2" s="187"/>
      <c r="E2" s="187"/>
      <c r="F2" s="187"/>
      <c r="G2" s="187"/>
      <c r="H2" s="187"/>
      <c r="I2" s="187"/>
      <c r="J2" s="65"/>
      <c r="K2" s="66"/>
      <c r="L2" s="66"/>
      <c r="M2" s="66"/>
      <c r="N2" s="66"/>
      <c r="O2" s="66"/>
      <c r="P2" s="66"/>
      <c r="Q2" s="66"/>
      <c r="R2" s="66"/>
      <c r="S2" s="66"/>
      <c r="T2" s="66"/>
      <c r="U2" s="66"/>
    </row>
    <row r="3" spans="2:22" x14ac:dyDescent="0.2">
      <c r="B3" s="65"/>
      <c r="C3" s="65"/>
      <c r="D3" s="65"/>
      <c r="E3" s="65"/>
      <c r="F3" s="65"/>
      <c r="G3" s="65"/>
      <c r="H3" s="65"/>
      <c r="I3" s="65"/>
      <c r="J3" s="65"/>
      <c r="K3" s="65"/>
      <c r="L3" s="65"/>
      <c r="M3" s="65"/>
      <c r="N3" s="65"/>
      <c r="O3" s="65"/>
      <c r="P3" s="65"/>
      <c r="Q3" s="65"/>
      <c r="R3" s="65"/>
      <c r="S3" s="65"/>
      <c r="T3" s="65"/>
      <c r="U3" s="65"/>
    </row>
    <row r="4" spans="2:22" ht="15" x14ac:dyDescent="0.25">
      <c r="G4" s="92"/>
      <c r="H4" s="177" t="s">
        <v>126</v>
      </c>
      <c r="I4" s="178"/>
      <c r="J4" s="179"/>
      <c r="K4" s="188" t="s">
        <v>70</v>
      </c>
      <c r="L4" s="188"/>
      <c r="M4" s="188"/>
      <c r="N4" s="88"/>
    </row>
    <row r="5" spans="2:22" ht="25.5" x14ac:dyDescent="0.2">
      <c r="B5" s="68" t="s">
        <v>71</v>
      </c>
      <c r="C5" s="68" t="s">
        <v>72</v>
      </c>
      <c r="D5" s="68" t="s">
        <v>73</v>
      </c>
      <c r="E5" s="68" t="s">
        <v>125</v>
      </c>
      <c r="F5" s="68" t="s">
        <v>124</v>
      </c>
      <c r="G5" s="70" t="s">
        <v>74</v>
      </c>
      <c r="H5" s="68" t="s">
        <v>52</v>
      </c>
      <c r="I5" s="68" t="s">
        <v>53</v>
      </c>
      <c r="J5" s="68" t="s">
        <v>54</v>
      </c>
      <c r="K5" s="69" t="s">
        <v>52</v>
      </c>
      <c r="L5" s="69" t="s">
        <v>53</v>
      </c>
      <c r="M5" s="69" t="s">
        <v>54</v>
      </c>
      <c r="N5" s="69" t="s">
        <v>119</v>
      </c>
      <c r="O5" s="68" t="s">
        <v>75</v>
      </c>
      <c r="P5" s="70" t="s">
        <v>115</v>
      </c>
      <c r="Q5" s="70" t="s">
        <v>86</v>
      </c>
      <c r="R5" s="70" t="s">
        <v>76</v>
      </c>
      <c r="S5" s="70" t="s">
        <v>77</v>
      </c>
      <c r="T5" s="70" t="s">
        <v>78</v>
      </c>
      <c r="U5" s="70" t="s">
        <v>79</v>
      </c>
      <c r="V5" s="70" t="s">
        <v>80</v>
      </c>
    </row>
    <row r="6" spans="2:22" x14ac:dyDescent="0.2">
      <c r="B6" s="181" t="s">
        <v>115</v>
      </c>
      <c r="C6" s="71" t="s">
        <v>81</v>
      </c>
      <c r="D6" s="71" t="s">
        <v>82</v>
      </c>
      <c r="E6" s="71"/>
      <c r="F6" s="71">
        <v>92</v>
      </c>
      <c r="G6" s="72">
        <v>63839053</v>
      </c>
      <c r="H6" s="79"/>
      <c r="I6" s="79"/>
      <c r="J6" s="79"/>
      <c r="K6" s="72">
        <v>0</v>
      </c>
      <c r="L6" s="72">
        <v>2775611</v>
      </c>
      <c r="M6" s="72">
        <v>5551221</v>
      </c>
      <c r="N6" s="72">
        <f>SUM(K6:M6)</f>
        <v>8326832</v>
      </c>
      <c r="O6" s="71" t="s">
        <v>83</v>
      </c>
      <c r="P6" s="71"/>
      <c r="Q6" s="71"/>
      <c r="R6" s="71"/>
      <c r="S6" s="73"/>
      <c r="T6" s="74"/>
      <c r="U6" s="74"/>
      <c r="V6" s="71"/>
    </row>
    <row r="7" spans="2:22" x14ac:dyDescent="0.2">
      <c r="B7" s="182"/>
      <c r="C7" s="71" t="s">
        <v>84</v>
      </c>
      <c r="D7" s="71" t="s">
        <v>82</v>
      </c>
      <c r="E7" s="71"/>
      <c r="F7" s="71">
        <v>102</v>
      </c>
      <c r="G7" s="72">
        <v>91198646</v>
      </c>
      <c r="H7" s="79"/>
      <c r="I7" s="79"/>
      <c r="J7" s="79"/>
      <c r="K7" s="72">
        <v>0</v>
      </c>
      <c r="L7" s="72">
        <v>3965158</v>
      </c>
      <c r="M7" s="72">
        <v>7930316</v>
      </c>
      <c r="N7" s="72">
        <f t="shared" ref="N7:N26" si="0">SUM(K7:M7)</f>
        <v>11895474</v>
      </c>
      <c r="O7" s="71" t="s">
        <v>83</v>
      </c>
      <c r="P7" s="75"/>
      <c r="Q7" s="71"/>
      <c r="R7" s="71"/>
      <c r="S7" s="73"/>
      <c r="T7" s="74"/>
      <c r="U7" s="74"/>
      <c r="V7" s="71"/>
    </row>
    <row r="8" spans="2:22" x14ac:dyDescent="0.2">
      <c r="B8" s="182"/>
      <c r="C8" s="71" t="s">
        <v>85</v>
      </c>
      <c r="D8" s="71" t="s">
        <v>82</v>
      </c>
      <c r="E8" s="71"/>
      <c r="F8" s="71">
        <v>348</v>
      </c>
      <c r="G8" s="72">
        <v>110036310</v>
      </c>
      <c r="H8" s="79"/>
      <c r="I8" s="79"/>
      <c r="J8" s="79"/>
      <c r="K8" s="72">
        <v>0</v>
      </c>
      <c r="L8" s="72">
        <v>2422183</v>
      </c>
      <c r="M8" s="72">
        <v>10380784</v>
      </c>
      <c r="N8" s="72">
        <f t="shared" si="0"/>
        <v>12802967</v>
      </c>
      <c r="O8" s="71" t="s">
        <v>83</v>
      </c>
      <c r="P8" s="73">
        <f>N8/2</f>
        <v>6401483.5</v>
      </c>
      <c r="Q8" s="73">
        <f>N8/2</f>
        <v>6401483.5</v>
      </c>
      <c r="R8" s="71"/>
      <c r="S8" s="73"/>
      <c r="T8" s="72"/>
      <c r="U8" s="72"/>
      <c r="V8" s="72"/>
    </row>
    <row r="9" spans="2:22" x14ac:dyDescent="0.2">
      <c r="B9" s="183"/>
      <c r="C9" s="71" t="s">
        <v>87</v>
      </c>
      <c r="D9" s="71" t="s">
        <v>82</v>
      </c>
      <c r="E9" s="71"/>
      <c r="F9" s="71">
        <v>126</v>
      </c>
      <c r="G9" s="72">
        <v>63839053</v>
      </c>
      <c r="H9" s="79"/>
      <c r="I9" s="79"/>
      <c r="J9" s="79"/>
      <c r="K9" s="72">
        <v>0</v>
      </c>
      <c r="L9" s="72">
        <v>2775611</v>
      </c>
      <c r="M9" s="72">
        <v>5551221</v>
      </c>
      <c r="N9" s="72">
        <f t="shared" si="0"/>
        <v>8326832</v>
      </c>
      <c r="O9" s="71" t="s">
        <v>83</v>
      </c>
      <c r="P9" s="71"/>
      <c r="Q9" s="71"/>
      <c r="R9" s="71"/>
      <c r="S9" s="73"/>
      <c r="T9" s="74"/>
      <c r="U9" s="74"/>
      <c r="V9" s="71"/>
    </row>
    <row r="10" spans="2:22" x14ac:dyDescent="0.2">
      <c r="B10" s="89" t="s">
        <v>88</v>
      </c>
      <c r="C10" s="71" t="s">
        <v>89</v>
      </c>
      <c r="D10" s="71" t="s">
        <v>90</v>
      </c>
      <c r="E10" s="71"/>
      <c r="F10" s="71">
        <v>302</v>
      </c>
      <c r="G10" s="72">
        <v>101920428</v>
      </c>
      <c r="H10" s="79"/>
      <c r="I10" s="79"/>
      <c r="J10" s="79"/>
      <c r="K10" s="72">
        <v>0</v>
      </c>
      <c r="L10" s="72">
        <v>4152314</v>
      </c>
      <c r="M10" s="72">
        <v>11324492</v>
      </c>
      <c r="N10" s="72">
        <f t="shared" si="0"/>
        <v>15476806</v>
      </c>
      <c r="O10" s="71" t="s">
        <v>83</v>
      </c>
      <c r="P10" s="87"/>
      <c r="Q10" s="71"/>
      <c r="R10" s="71"/>
      <c r="S10" s="73"/>
      <c r="T10" s="74"/>
      <c r="U10" s="71"/>
      <c r="V10" s="71"/>
    </row>
    <row r="11" spans="2:22" x14ac:dyDescent="0.2">
      <c r="B11" s="71" t="s">
        <v>86</v>
      </c>
      <c r="C11" s="71" t="s">
        <v>91</v>
      </c>
      <c r="D11" s="71" t="s">
        <v>82</v>
      </c>
      <c r="E11" s="71"/>
      <c r="F11" s="71">
        <v>509</v>
      </c>
      <c r="G11" s="72">
        <v>31721264</v>
      </c>
      <c r="H11" s="79"/>
      <c r="I11" s="79"/>
      <c r="J11" s="79"/>
      <c r="K11" s="72">
        <v>0</v>
      </c>
      <c r="L11" s="72">
        <v>0</v>
      </c>
      <c r="M11" s="72">
        <v>2775611</v>
      </c>
      <c r="N11" s="72">
        <f t="shared" si="0"/>
        <v>2775611</v>
      </c>
      <c r="O11" s="71" t="s">
        <v>83</v>
      </c>
      <c r="P11" s="87"/>
      <c r="Q11" s="71"/>
      <c r="R11" s="71"/>
      <c r="S11" s="73"/>
      <c r="T11" s="74"/>
      <c r="U11" s="71"/>
      <c r="V11" s="71"/>
    </row>
    <row r="12" spans="2:22" x14ac:dyDescent="0.2">
      <c r="B12" s="71" t="s">
        <v>88</v>
      </c>
      <c r="C12" s="71" t="s">
        <v>93</v>
      </c>
      <c r="D12" s="71" t="s">
        <v>90</v>
      </c>
      <c r="E12" s="71"/>
      <c r="F12" s="71">
        <v>375</v>
      </c>
      <c r="G12" s="72">
        <v>107582674</v>
      </c>
      <c r="H12" s="79"/>
      <c r="I12" s="79"/>
      <c r="J12" s="79"/>
      <c r="K12" s="72">
        <v>0</v>
      </c>
      <c r="L12" s="72">
        <v>2264898</v>
      </c>
      <c r="M12" s="72">
        <v>11324492</v>
      </c>
      <c r="N12" s="72">
        <f t="shared" si="0"/>
        <v>13589390</v>
      </c>
      <c r="O12" s="71" t="s">
        <v>83</v>
      </c>
      <c r="P12" s="87"/>
      <c r="Q12" s="74"/>
      <c r="R12" s="71"/>
      <c r="S12" s="73"/>
      <c r="T12" s="74"/>
      <c r="U12" s="74"/>
      <c r="V12" s="71"/>
    </row>
    <row r="13" spans="2:22" x14ac:dyDescent="0.2">
      <c r="B13" s="184" t="s">
        <v>30</v>
      </c>
      <c r="C13" s="71" t="s">
        <v>94</v>
      </c>
      <c r="D13" s="71" t="s">
        <v>90</v>
      </c>
      <c r="E13" s="71"/>
      <c r="F13" s="71">
        <v>390</v>
      </c>
      <c r="G13" s="72">
        <v>101920428</v>
      </c>
      <c r="H13" s="79"/>
      <c r="I13" s="79"/>
      <c r="J13" s="79"/>
      <c r="K13" s="72">
        <v>0</v>
      </c>
      <c r="L13" s="72">
        <v>2642381</v>
      </c>
      <c r="M13" s="72">
        <v>11324492</v>
      </c>
      <c r="N13" s="72">
        <f t="shared" si="0"/>
        <v>13966873</v>
      </c>
      <c r="O13" s="71" t="s">
        <v>83</v>
      </c>
      <c r="P13" s="71"/>
      <c r="Q13" s="71"/>
      <c r="R13" s="71"/>
      <c r="S13" s="73"/>
      <c r="T13" s="74"/>
      <c r="U13" s="71"/>
      <c r="V13" s="71"/>
    </row>
    <row r="14" spans="2:22" ht="12.75" customHeight="1" x14ac:dyDescent="0.2">
      <c r="B14" s="185"/>
      <c r="C14" s="83" t="s">
        <v>95</v>
      </c>
      <c r="D14" s="71" t="s">
        <v>96</v>
      </c>
      <c r="E14" s="71">
        <v>63</v>
      </c>
      <c r="F14" s="71">
        <v>604</v>
      </c>
      <c r="G14" s="72">
        <v>27386030</v>
      </c>
      <c r="H14" s="79"/>
      <c r="I14" s="79"/>
      <c r="J14" s="79"/>
      <c r="K14" s="72">
        <v>0</v>
      </c>
      <c r="L14" s="72">
        <v>0</v>
      </c>
      <c r="M14" s="72">
        <v>0</v>
      </c>
      <c r="N14" s="72">
        <f t="shared" si="0"/>
        <v>0</v>
      </c>
      <c r="O14" s="71" t="s">
        <v>97</v>
      </c>
      <c r="P14" s="71"/>
      <c r="Q14" s="71"/>
      <c r="R14" s="71"/>
      <c r="S14" s="73"/>
      <c r="T14" s="71"/>
      <c r="U14" s="71"/>
      <c r="V14" s="71"/>
    </row>
    <row r="15" spans="2:22" ht="12.75" customHeight="1" x14ac:dyDescent="0.2">
      <c r="B15" s="185"/>
      <c r="C15" s="83" t="s">
        <v>98</v>
      </c>
      <c r="D15" s="71" t="s">
        <v>99</v>
      </c>
      <c r="E15" s="71">
        <v>67</v>
      </c>
      <c r="F15" s="71"/>
      <c r="G15" s="72"/>
      <c r="H15" s="79"/>
      <c r="I15" s="79"/>
      <c r="J15" s="79"/>
      <c r="K15" s="72">
        <v>0</v>
      </c>
      <c r="L15" s="72"/>
      <c r="M15" s="72"/>
      <c r="N15" s="72">
        <f t="shared" si="0"/>
        <v>0</v>
      </c>
      <c r="O15" s="71" t="s">
        <v>97</v>
      </c>
      <c r="P15" s="71"/>
      <c r="Q15" s="71"/>
      <c r="R15" s="71"/>
      <c r="S15" s="73"/>
      <c r="T15" s="71"/>
      <c r="U15" s="71"/>
      <c r="V15" s="71"/>
    </row>
    <row r="16" spans="2:22" x14ac:dyDescent="0.2">
      <c r="B16" s="185"/>
      <c r="C16" s="71" t="s">
        <v>100</v>
      </c>
      <c r="D16" s="71" t="s">
        <v>101</v>
      </c>
      <c r="E16" s="71"/>
      <c r="F16" s="71">
        <v>158</v>
      </c>
      <c r="G16" s="72">
        <v>141084300</v>
      </c>
      <c r="H16" s="72"/>
      <c r="I16" s="72"/>
      <c r="J16" s="72"/>
      <c r="K16" s="72">
        <v>0</v>
      </c>
      <c r="L16" s="72">
        <v>5725160</v>
      </c>
      <c r="M16" s="72">
        <v>12268200</v>
      </c>
      <c r="N16" s="72">
        <f t="shared" si="0"/>
        <v>17993360</v>
      </c>
      <c r="O16" s="71" t="s">
        <v>97</v>
      </c>
      <c r="P16" s="71"/>
      <c r="Q16" s="71"/>
      <c r="R16" s="71"/>
      <c r="S16" s="73"/>
      <c r="T16" s="71"/>
      <c r="U16" s="71"/>
      <c r="V16" s="71"/>
    </row>
    <row r="17" spans="2:22" x14ac:dyDescent="0.2">
      <c r="B17" s="185"/>
      <c r="C17" s="71" t="s">
        <v>111</v>
      </c>
      <c r="D17" s="71" t="s">
        <v>82</v>
      </c>
      <c r="E17" s="71"/>
      <c r="F17" s="71">
        <v>72</v>
      </c>
      <c r="G17" s="72">
        <v>91198646</v>
      </c>
      <c r="H17" s="72"/>
      <c r="I17" s="72"/>
      <c r="J17" s="72"/>
      <c r="K17" s="72">
        <v>0</v>
      </c>
      <c r="L17" s="72">
        <v>3965158</v>
      </c>
      <c r="M17" s="72">
        <v>7930316</v>
      </c>
      <c r="N17" s="72">
        <f t="shared" si="0"/>
        <v>11895474</v>
      </c>
      <c r="O17" s="71" t="s">
        <v>97</v>
      </c>
      <c r="P17" s="71"/>
      <c r="Q17" s="71"/>
      <c r="R17" s="71"/>
      <c r="S17" s="73"/>
      <c r="T17" s="71"/>
      <c r="U17" s="71"/>
      <c r="V17" s="71"/>
    </row>
    <row r="18" spans="2:22" x14ac:dyDescent="0.2">
      <c r="B18" s="185"/>
      <c r="C18" s="71" t="s">
        <v>92</v>
      </c>
      <c r="D18" s="71" t="s">
        <v>90</v>
      </c>
      <c r="E18" s="71"/>
      <c r="F18" s="71">
        <v>88</v>
      </c>
      <c r="G18" s="72">
        <v>109438370</v>
      </c>
      <c r="H18" s="72"/>
      <c r="I18" s="72"/>
      <c r="J18" s="72"/>
      <c r="K18" s="72">
        <v>0</v>
      </c>
      <c r="L18" s="72">
        <v>4758190</v>
      </c>
      <c r="M18" s="72">
        <v>9516380</v>
      </c>
      <c r="N18" s="72">
        <f t="shared" si="0"/>
        <v>14274570</v>
      </c>
      <c r="O18" s="71" t="s">
        <v>83</v>
      </c>
      <c r="P18" s="87"/>
      <c r="Q18" s="71"/>
      <c r="R18" s="71"/>
      <c r="S18" s="73"/>
      <c r="T18" s="74"/>
      <c r="U18" s="71"/>
      <c r="V18" s="71"/>
    </row>
    <row r="19" spans="2:22" x14ac:dyDescent="0.2">
      <c r="B19" s="185"/>
      <c r="C19" s="83" t="s">
        <v>102</v>
      </c>
      <c r="D19" s="71" t="s">
        <v>101</v>
      </c>
      <c r="E19" s="71">
        <v>168</v>
      </c>
      <c r="F19" s="71">
        <v>578</v>
      </c>
      <c r="G19" s="72">
        <v>116138960</v>
      </c>
      <c r="H19" s="72"/>
      <c r="I19" s="72"/>
      <c r="J19" s="72"/>
      <c r="K19" s="72">
        <v>0</v>
      </c>
      <c r="L19" s="72">
        <v>0</v>
      </c>
      <c r="M19" s="72">
        <v>0</v>
      </c>
      <c r="N19" s="72">
        <v>0</v>
      </c>
      <c r="O19" s="71" t="s">
        <v>97</v>
      </c>
      <c r="P19" s="71"/>
      <c r="Q19" s="71"/>
      <c r="R19" s="71"/>
      <c r="S19" s="73"/>
      <c r="T19" s="71"/>
      <c r="U19" s="71"/>
      <c r="V19" s="71"/>
    </row>
    <row r="20" spans="2:22" x14ac:dyDescent="0.2">
      <c r="B20" s="185"/>
      <c r="C20" s="71" t="s">
        <v>103</v>
      </c>
      <c r="D20" s="71" t="s">
        <v>104</v>
      </c>
      <c r="E20" s="71"/>
      <c r="F20" s="71">
        <v>70</v>
      </c>
      <c r="G20" s="72">
        <v>45599317</v>
      </c>
      <c r="H20" s="72"/>
      <c r="I20" s="72"/>
      <c r="J20" s="72"/>
      <c r="K20" s="72">
        <v>0</v>
      </c>
      <c r="L20" s="72">
        <v>2379095</v>
      </c>
      <c r="M20" s="72">
        <v>3965158</v>
      </c>
      <c r="N20" s="72">
        <f t="shared" si="0"/>
        <v>6344253</v>
      </c>
      <c r="O20" s="71" t="s">
        <v>97</v>
      </c>
      <c r="P20" s="71"/>
      <c r="Q20" s="71"/>
      <c r="R20" s="71"/>
      <c r="S20" s="73"/>
      <c r="T20" s="71"/>
      <c r="U20" s="71"/>
      <c r="V20" s="71"/>
    </row>
    <row r="21" spans="2:22" x14ac:dyDescent="0.2">
      <c r="B21" s="185"/>
      <c r="C21" s="71" t="s">
        <v>105</v>
      </c>
      <c r="D21" s="71" t="s">
        <v>82</v>
      </c>
      <c r="E21" s="71"/>
      <c r="F21" s="71"/>
      <c r="G21" s="72"/>
      <c r="H21" s="72"/>
      <c r="I21" s="72"/>
      <c r="J21" s="72"/>
      <c r="K21" s="72">
        <v>0</v>
      </c>
      <c r="L21" s="72"/>
      <c r="M21" s="72"/>
      <c r="N21" s="72">
        <f t="shared" si="0"/>
        <v>0</v>
      </c>
      <c r="O21" s="71" t="s">
        <v>97</v>
      </c>
      <c r="P21" s="71"/>
      <c r="Q21" s="71"/>
      <c r="R21" s="71"/>
      <c r="S21" s="73"/>
      <c r="T21" s="71"/>
      <c r="U21" s="71"/>
      <c r="V21" s="71"/>
    </row>
    <row r="22" spans="2:22" x14ac:dyDescent="0.2">
      <c r="B22" s="185"/>
      <c r="C22" s="71" t="s">
        <v>106</v>
      </c>
      <c r="D22" s="71" t="s">
        <v>90</v>
      </c>
      <c r="E22" s="71"/>
      <c r="F22" s="71"/>
      <c r="G22" s="72"/>
      <c r="H22" s="72"/>
      <c r="I22" s="72"/>
      <c r="J22" s="72"/>
      <c r="K22" s="72">
        <v>0</v>
      </c>
      <c r="L22" s="72"/>
      <c r="M22" s="72"/>
      <c r="N22" s="72">
        <f t="shared" si="0"/>
        <v>0</v>
      </c>
      <c r="O22" s="71" t="s">
        <v>97</v>
      </c>
      <c r="P22" s="71"/>
      <c r="Q22" s="71"/>
      <c r="R22" s="71"/>
      <c r="S22" s="73"/>
      <c r="T22" s="71"/>
      <c r="U22" s="71"/>
      <c r="V22" s="71"/>
    </row>
    <row r="23" spans="2:22" x14ac:dyDescent="0.2">
      <c r="B23" s="185"/>
      <c r="C23" s="71" t="s">
        <v>107</v>
      </c>
      <c r="D23" s="71" t="s">
        <v>101</v>
      </c>
      <c r="E23" s="71"/>
      <c r="F23" s="71"/>
      <c r="G23" s="72"/>
      <c r="H23" s="72"/>
      <c r="I23" s="72"/>
      <c r="J23" s="72"/>
      <c r="K23" s="72">
        <v>0</v>
      </c>
      <c r="L23" s="72"/>
      <c r="M23" s="72"/>
      <c r="N23" s="72">
        <f t="shared" si="0"/>
        <v>0</v>
      </c>
      <c r="O23" s="71" t="s">
        <v>97</v>
      </c>
      <c r="P23" s="71"/>
      <c r="Q23" s="71"/>
      <c r="R23" s="71"/>
      <c r="S23" s="73"/>
      <c r="T23" s="71"/>
      <c r="U23" s="71"/>
      <c r="V23" s="71"/>
    </row>
    <row r="24" spans="2:22" x14ac:dyDescent="0.2">
      <c r="B24" s="185"/>
      <c r="C24" s="71" t="s">
        <v>108</v>
      </c>
      <c r="D24" s="71" t="s">
        <v>101</v>
      </c>
      <c r="E24" s="71"/>
      <c r="F24" s="71">
        <v>140</v>
      </c>
      <c r="G24" s="72">
        <v>141084300</v>
      </c>
      <c r="H24" s="72"/>
      <c r="I24" s="72"/>
      <c r="J24" s="72"/>
      <c r="K24" s="72">
        <v>0</v>
      </c>
      <c r="L24" s="72">
        <v>5316220</v>
      </c>
      <c r="M24" s="72">
        <v>12268200</v>
      </c>
      <c r="N24" s="72">
        <f t="shared" si="0"/>
        <v>17584420</v>
      </c>
      <c r="O24" s="71" t="s">
        <v>97</v>
      </c>
      <c r="P24" s="71"/>
      <c r="Q24" s="71"/>
      <c r="R24" s="71"/>
      <c r="S24" s="73"/>
      <c r="T24" s="71"/>
      <c r="U24" s="71"/>
      <c r="V24" s="71"/>
    </row>
    <row r="25" spans="2:22" x14ac:dyDescent="0.2">
      <c r="B25" s="185"/>
      <c r="C25" s="87" t="s">
        <v>109</v>
      </c>
      <c r="D25" s="71" t="s">
        <v>90</v>
      </c>
      <c r="E25" s="71"/>
      <c r="F25" s="71"/>
      <c r="G25" s="72"/>
      <c r="H25" s="72"/>
      <c r="I25" s="72"/>
      <c r="J25" s="72"/>
      <c r="K25" s="72">
        <v>0</v>
      </c>
      <c r="L25" s="72"/>
      <c r="M25" s="72"/>
      <c r="N25" s="72">
        <f t="shared" si="0"/>
        <v>0</v>
      </c>
      <c r="O25" s="71"/>
      <c r="P25" s="71"/>
      <c r="Q25" s="71"/>
      <c r="R25" s="71"/>
      <c r="S25" s="73"/>
      <c r="T25" s="71"/>
      <c r="U25" s="71"/>
      <c r="V25" s="71"/>
    </row>
    <row r="26" spans="2:22" x14ac:dyDescent="0.2">
      <c r="B26" s="186"/>
      <c r="C26" s="71" t="s">
        <v>110</v>
      </c>
      <c r="D26" s="71" t="s">
        <v>90</v>
      </c>
      <c r="E26" s="71"/>
      <c r="F26" s="71"/>
      <c r="G26" s="72"/>
      <c r="H26" s="72"/>
      <c r="I26" s="72"/>
      <c r="J26" s="72"/>
      <c r="K26" s="72">
        <v>0</v>
      </c>
      <c r="L26" s="72"/>
      <c r="M26" s="72"/>
      <c r="N26" s="72">
        <f t="shared" si="0"/>
        <v>0</v>
      </c>
      <c r="O26" s="71" t="s">
        <v>97</v>
      </c>
      <c r="P26" s="71"/>
      <c r="Q26" s="71"/>
      <c r="R26" s="71"/>
      <c r="S26" s="73"/>
      <c r="T26" s="71"/>
      <c r="U26" s="71"/>
      <c r="V26" s="71"/>
    </row>
    <row r="29" spans="2:22" x14ac:dyDescent="0.2">
      <c r="E29" s="67" t="s">
        <v>117</v>
      </c>
      <c r="H29" s="84"/>
      <c r="I29" s="84"/>
      <c r="J29" s="84"/>
    </row>
    <row r="30" spans="2:22" x14ac:dyDescent="0.2">
      <c r="C30" s="77"/>
      <c r="D30" s="67" t="s">
        <v>115</v>
      </c>
      <c r="E30" s="77">
        <f>SUM(N6:N7,N9,P8)</f>
        <v>34950621.5</v>
      </c>
      <c r="F30" s="77"/>
      <c r="G30" s="77"/>
      <c r="H30" s="85"/>
      <c r="I30" s="85"/>
      <c r="J30" s="85"/>
      <c r="K30" s="76"/>
      <c r="L30" s="76"/>
    </row>
    <row r="31" spans="2:22" x14ac:dyDescent="0.2">
      <c r="C31" s="77"/>
      <c r="D31" s="67" t="s">
        <v>88</v>
      </c>
      <c r="E31" s="77">
        <f>N10+N12</f>
        <v>29066196</v>
      </c>
      <c r="F31" s="77"/>
      <c r="G31" s="77"/>
      <c r="H31" s="85"/>
      <c r="I31" s="85"/>
      <c r="J31" s="85"/>
      <c r="K31" s="77"/>
      <c r="L31" s="77"/>
    </row>
    <row r="32" spans="2:22" x14ac:dyDescent="0.2">
      <c r="C32" s="77"/>
      <c r="D32" s="67" t="s">
        <v>86</v>
      </c>
      <c r="E32" s="77">
        <f>N11+Q8</f>
        <v>9177094.5</v>
      </c>
      <c r="F32" s="77"/>
      <c r="G32" s="77"/>
      <c r="H32" s="86"/>
      <c r="I32" s="85"/>
      <c r="J32" s="85"/>
      <c r="L32" s="76"/>
    </row>
    <row r="33" spans="2:11" x14ac:dyDescent="0.2">
      <c r="C33" s="77"/>
      <c r="D33" s="67" t="s">
        <v>116</v>
      </c>
      <c r="E33" s="77">
        <f>SUM(N13:N26)</f>
        <v>82058950</v>
      </c>
      <c r="G33" s="77"/>
      <c r="H33" s="86"/>
      <c r="I33" s="84"/>
      <c r="J33" s="84"/>
    </row>
    <row r="34" spans="2:11" x14ac:dyDescent="0.2">
      <c r="G34" s="67" t="s">
        <v>117</v>
      </c>
      <c r="H34" s="85" t="s">
        <v>127</v>
      </c>
      <c r="I34" s="84" t="s">
        <v>128</v>
      </c>
      <c r="J34" s="84" t="s">
        <v>129</v>
      </c>
    </row>
    <row r="35" spans="2:11" x14ac:dyDescent="0.2">
      <c r="E35" s="67" t="s">
        <v>118</v>
      </c>
      <c r="G35" s="77"/>
      <c r="H35" s="84"/>
      <c r="I35" s="84"/>
      <c r="J35" s="84"/>
    </row>
    <row r="36" spans="2:11" x14ac:dyDescent="0.2">
      <c r="D36" s="67" t="s">
        <v>115</v>
      </c>
      <c r="E36" s="77"/>
      <c r="G36" s="77">
        <f>E30</f>
        <v>34950621.5</v>
      </c>
      <c r="H36" s="85">
        <f>F43</f>
        <v>72669450</v>
      </c>
      <c r="I36" s="84"/>
      <c r="J36" s="84"/>
      <c r="K36" s="77">
        <f>G36+H36</f>
        <v>107620071.5</v>
      </c>
    </row>
    <row r="37" spans="2:11" x14ac:dyDescent="0.2">
      <c r="D37" s="67" t="s">
        <v>88</v>
      </c>
      <c r="G37" s="77">
        <v>29066196</v>
      </c>
      <c r="H37" s="85">
        <f>F47</f>
        <v>67946952</v>
      </c>
      <c r="I37" s="84"/>
      <c r="J37" s="84"/>
      <c r="K37" s="77">
        <f>G37+H37</f>
        <v>97013148</v>
      </c>
    </row>
    <row r="38" spans="2:11" x14ac:dyDescent="0.2">
      <c r="D38" s="67" t="s">
        <v>86</v>
      </c>
      <c r="G38" s="77">
        <v>9177094.5</v>
      </c>
      <c r="H38" s="85">
        <f>F48</f>
        <v>27466650</v>
      </c>
      <c r="I38" s="84"/>
      <c r="J38" s="84"/>
      <c r="K38" s="77">
        <f>G38+H38</f>
        <v>36643744.5</v>
      </c>
    </row>
    <row r="39" spans="2:11" x14ac:dyDescent="0.2">
      <c r="D39" s="67" t="s">
        <v>116</v>
      </c>
      <c r="E39" s="77" t="e">
        <f>SUM(G13:G26)+H34+J32+L32</f>
        <v>#VALUE!</v>
      </c>
      <c r="G39" s="77">
        <f>E33</f>
        <v>82058950</v>
      </c>
      <c r="H39" s="84"/>
      <c r="I39" s="84"/>
      <c r="J39" s="84"/>
    </row>
    <row r="40" spans="2:11" x14ac:dyDescent="0.2">
      <c r="G40" s="77"/>
      <c r="H40" s="84"/>
      <c r="I40" s="84"/>
      <c r="J40" s="84"/>
    </row>
    <row r="41" spans="2:11" x14ac:dyDescent="0.2">
      <c r="H41" s="84"/>
      <c r="I41" s="84"/>
      <c r="J41" s="84"/>
    </row>
    <row r="43" spans="2:11" x14ac:dyDescent="0.2">
      <c r="B43" s="181" t="s">
        <v>115</v>
      </c>
      <c r="C43" s="71" t="s">
        <v>81</v>
      </c>
      <c r="D43" s="77">
        <v>5551221</v>
      </c>
      <c r="E43" s="77">
        <f t="shared" ref="E43:E49" si="1">D43*3</f>
        <v>16653663</v>
      </c>
      <c r="F43" s="77">
        <f>SUM(E43:E46)</f>
        <v>72669450</v>
      </c>
      <c r="G43" s="77"/>
    </row>
    <row r="44" spans="2:11" x14ac:dyDescent="0.2">
      <c r="B44" s="182"/>
      <c r="C44" s="71" t="s">
        <v>84</v>
      </c>
      <c r="D44" s="77">
        <v>7930316</v>
      </c>
      <c r="E44" s="77">
        <f t="shared" si="1"/>
        <v>23790948</v>
      </c>
    </row>
    <row r="45" spans="2:11" x14ac:dyDescent="0.2">
      <c r="B45" s="182"/>
      <c r="C45" s="71" t="s">
        <v>85</v>
      </c>
      <c r="D45" s="77">
        <f>10380784/2</f>
        <v>5190392</v>
      </c>
      <c r="E45" s="77">
        <f t="shared" si="1"/>
        <v>15571176</v>
      </c>
    </row>
    <row r="46" spans="2:11" x14ac:dyDescent="0.2">
      <c r="B46" s="183"/>
      <c r="C46" s="71" t="s">
        <v>87</v>
      </c>
      <c r="D46" s="77">
        <v>5551221</v>
      </c>
      <c r="E46" s="77">
        <f t="shared" si="1"/>
        <v>16653663</v>
      </c>
    </row>
    <row r="47" spans="2:11" x14ac:dyDescent="0.2">
      <c r="B47" s="89" t="s">
        <v>88</v>
      </c>
      <c r="C47" s="71" t="s">
        <v>89</v>
      </c>
      <c r="D47" s="77">
        <v>11324492</v>
      </c>
      <c r="E47" s="77">
        <f t="shared" si="1"/>
        <v>33973476</v>
      </c>
      <c r="F47" s="77">
        <f>E47+E49</f>
        <v>67946952</v>
      </c>
    </row>
    <row r="48" spans="2:11" x14ac:dyDescent="0.2">
      <c r="B48" s="71" t="s">
        <v>86</v>
      </c>
      <c r="C48" s="71" t="s">
        <v>91</v>
      </c>
      <c r="D48" s="77">
        <v>3965158</v>
      </c>
      <c r="E48" s="77">
        <f t="shared" si="1"/>
        <v>11895474</v>
      </c>
      <c r="F48" s="77">
        <f>E48+E50</f>
        <v>27466650</v>
      </c>
    </row>
    <row r="49" spans="2:5" x14ac:dyDescent="0.2">
      <c r="B49" s="71" t="s">
        <v>88</v>
      </c>
      <c r="C49" s="71" t="s">
        <v>93</v>
      </c>
      <c r="D49" s="77">
        <v>11324492</v>
      </c>
      <c r="E49" s="77">
        <f t="shared" si="1"/>
        <v>33973476</v>
      </c>
    </row>
    <row r="50" spans="2:5" x14ac:dyDescent="0.2">
      <c r="E50" s="77">
        <f>E45</f>
        <v>15571176</v>
      </c>
    </row>
  </sheetData>
  <mergeCells count="6">
    <mergeCell ref="B43:B46"/>
    <mergeCell ref="B13:B26"/>
    <mergeCell ref="B2:I2"/>
    <mergeCell ref="B6:B9"/>
    <mergeCell ref="K4:M4"/>
    <mergeCell ref="H4:J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5A53-C52C-4FEB-96F7-A9165D290324}">
  <dimension ref="B2:L22"/>
  <sheetViews>
    <sheetView zoomScale="90" zoomScaleNormal="90" workbookViewId="0">
      <selection activeCell="I6" sqref="I6"/>
    </sheetView>
  </sheetViews>
  <sheetFormatPr baseColWidth="10" defaultRowHeight="12.75" x14ac:dyDescent="0.2"/>
  <cols>
    <col min="1" max="1" width="4" style="67" customWidth="1"/>
    <col min="2" max="2" width="52.140625" style="67" customWidth="1"/>
    <col min="3" max="4" width="16.140625" style="67" customWidth="1"/>
    <col min="5" max="5" width="17.42578125" style="67" bestFit="1" customWidth="1"/>
    <col min="6" max="6" width="14.85546875" style="67" bestFit="1" customWidth="1"/>
    <col min="7" max="7" width="15.85546875" style="67" bestFit="1" customWidth="1"/>
    <col min="8" max="8" width="14.85546875" style="67" bestFit="1" customWidth="1"/>
    <col min="9" max="9" width="14.85546875" style="67" customWidth="1"/>
    <col min="10" max="16384" width="11.42578125" style="67"/>
  </cols>
  <sheetData>
    <row r="2" spans="2:12" ht="12.75" customHeight="1" x14ac:dyDescent="0.2">
      <c r="B2" s="187"/>
      <c r="C2" s="187"/>
      <c r="D2" s="187"/>
      <c r="E2" s="187"/>
      <c r="F2" s="187"/>
      <c r="G2" s="187"/>
      <c r="H2" s="187"/>
      <c r="I2" s="65"/>
      <c r="J2" s="66"/>
      <c r="K2" s="66"/>
      <c r="L2" s="66"/>
    </row>
    <row r="3" spans="2:12" x14ac:dyDescent="0.2">
      <c r="B3" s="65"/>
      <c r="C3" s="65"/>
      <c r="D3" s="65"/>
      <c r="E3" s="65"/>
      <c r="F3" s="65"/>
      <c r="G3" s="65"/>
      <c r="H3" s="65"/>
      <c r="I3" s="65"/>
      <c r="J3" s="65"/>
      <c r="K3" s="65"/>
      <c r="L3" s="65"/>
    </row>
    <row r="4" spans="2:12" ht="15" x14ac:dyDescent="0.25">
      <c r="F4" s="177" t="s">
        <v>70</v>
      </c>
      <c r="G4" s="178"/>
      <c r="H4" s="179"/>
      <c r="I4" s="88"/>
    </row>
    <row r="5" spans="2:12" x14ac:dyDescent="0.2">
      <c r="B5" s="68" t="s">
        <v>72</v>
      </c>
      <c r="C5" s="68" t="s">
        <v>73</v>
      </c>
      <c r="D5" s="68" t="s">
        <v>50</v>
      </c>
      <c r="E5" s="70" t="s">
        <v>74</v>
      </c>
      <c r="F5" s="69" t="s">
        <v>52</v>
      </c>
      <c r="G5" s="69" t="s">
        <v>53</v>
      </c>
      <c r="H5" s="69" t="s">
        <v>54</v>
      </c>
      <c r="I5" s="69"/>
    </row>
    <row r="6" spans="2:12" x14ac:dyDescent="0.2">
      <c r="B6" s="71" t="s">
        <v>112</v>
      </c>
      <c r="C6" s="71" t="s">
        <v>114</v>
      </c>
      <c r="D6" s="71">
        <v>159</v>
      </c>
      <c r="E6" s="72">
        <v>54719185</v>
      </c>
      <c r="F6" s="72">
        <v>0</v>
      </c>
      <c r="G6" s="72">
        <v>2696308</v>
      </c>
      <c r="H6" s="72">
        <v>4758190</v>
      </c>
      <c r="I6" s="72">
        <f>SUM(F6:H6)</f>
        <v>7454498</v>
      </c>
    </row>
    <row r="7" spans="2:12" x14ac:dyDescent="0.2">
      <c r="B7" s="71" t="s">
        <v>113</v>
      </c>
      <c r="C7" s="71" t="s">
        <v>114</v>
      </c>
      <c r="D7" s="71">
        <v>38</v>
      </c>
      <c r="E7" s="72">
        <v>82078778</v>
      </c>
      <c r="F7" s="72">
        <v>0</v>
      </c>
      <c r="G7" s="72">
        <v>4498340</v>
      </c>
      <c r="H7" s="72">
        <v>7137285</v>
      </c>
      <c r="I7" s="72">
        <f>G7+H7</f>
        <v>11635625</v>
      </c>
    </row>
    <row r="10" spans="2:12" x14ac:dyDescent="0.2">
      <c r="G10" s="84"/>
      <c r="H10" s="84"/>
      <c r="I10" s="84"/>
    </row>
    <row r="11" spans="2:12" x14ac:dyDescent="0.2">
      <c r="E11" s="77"/>
      <c r="F11" s="77"/>
      <c r="G11" s="85"/>
      <c r="H11" s="84"/>
      <c r="I11" s="84"/>
    </row>
    <row r="12" spans="2:12" x14ac:dyDescent="0.2">
      <c r="E12" s="77"/>
      <c r="F12" s="77"/>
      <c r="G12" s="85"/>
      <c r="H12" s="84"/>
      <c r="I12" s="84"/>
    </row>
    <row r="13" spans="2:12" x14ac:dyDescent="0.2">
      <c r="E13" s="77"/>
      <c r="F13" s="77"/>
      <c r="G13" s="86"/>
      <c r="H13" s="85"/>
      <c r="I13" s="85"/>
    </row>
    <row r="14" spans="2:12" x14ac:dyDescent="0.2">
      <c r="G14" s="86"/>
      <c r="H14" s="84"/>
      <c r="I14" s="84"/>
    </row>
    <row r="15" spans="2:12" x14ac:dyDescent="0.2">
      <c r="G15" s="84"/>
      <c r="H15" s="84"/>
      <c r="I15" s="84"/>
    </row>
    <row r="16" spans="2:12" x14ac:dyDescent="0.2">
      <c r="G16" s="84"/>
      <c r="H16" s="84"/>
      <c r="I16" s="84"/>
    </row>
    <row r="17" spans="7:9" x14ac:dyDescent="0.2">
      <c r="G17" s="84"/>
      <c r="H17" s="84"/>
      <c r="I17" s="84"/>
    </row>
    <row r="18" spans="7:9" x14ac:dyDescent="0.2">
      <c r="G18" s="84"/>
      <c r="H18" s="84"/>
      <c r="I18" s="84"/>
    </row>
    <row r="19" spans="7:9" x14ac:dyDescent="0.2">
      <c r="G19" s="84"/>
      <c r="H19" s="84"/>
      <c r="I19" s="84"/>
    </row>
    <row r="20" spans="7:9" x14ac:dyDescent="0.2">
      <c r="G20" s="84"/>
      <c r="H20" s="84"/>
      <c r="I20" s="84"/>
    </row>
    <row r="21" spans="7:9" x14ac:dyDescent="0.2">
      <c r="G21" s="84"/>
      <c r="H21" s="84"/>
      <c r="I21" s="84"/>
    </row>
    <row r="22" spans="7:9" x14ac:dyDescent="0.2">
      <c r="G22" s="84"/>
      <c r="H22" s="84"/>
      <c r="I22" s="84"/>
    </row>
  </sheetData>
  <mergeCells count="2">
    <mergeCell ref="B2:H2"/>
    <mergeCell ref="F4:H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Inversión</vt:lpstr>
      <vt:lpstr>Operación</vt:lpstr>
      <vt:lpstr>MSPI</vt:lpstr>
      <vt:lpstr>OptimizarSI</vt:lpstr>
      <vt:lpstr>GobiernoTI</vt:lpstr>
      <vt:lpstr>Inversión!Área_de_impresión</vt:lpstr>
      <vt:lpstr>Operación!Área_de_impresión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Gonzalez Rodriguez</dc:creator>
  <cp:lastModifiedBy>Isabel Cristina Garcia Lemus</cp:lastModifiedBy>
  <cp:lastPrinted>2020-08-14T07:14:47Z</cp:lastPrinted>
  <dcterms:created xsi:type="dcterms:W3CDTF">2020-04-07T13:15:32Z</dcterms:created>
  <dcterms:modified xsi:type="dcterms:W3CDTF">2023-07-10T21:21:16Z</dcterms:modified>
</cp:coreProperties>
</file>