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E:\Alcaldía Bogotá\Metodología riesgos Alcaldía\31 Macro ene 2024\"/>
    </mc:Choice>
  </mc:AlternateContent>
  <bookViews>
    <workbookView xWindow="-120" yWindow="-120" windowWidth="20730" windowHeight="11040" tabRatio="924" firstSheet="3" activeTab="3"/>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62913"/>
  <pivotCaches>
    <pivotCache cacheId="16" r:id="rId12"/>
    <pivotCache cacheId="17"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P31" i="41" l="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R12" i="41" s="1"/>
  <c r="ES16" i="41" l="1"/>
  <c r="ET16" i="41" s="1"/>
  <c r="EU16" i="41" s="1"/>
  <c r="ES18" i="41"/>
  <c r="ET18" i="41" s="1"/>
  <c r="EU18" i="41" s="1"/>
  <c r="ES27" i="41"/>
  <c r="ET27" i="41" s="1"/>
  <c r="EU27" i="41" s="1"/>
  <c r="ES22" i="41"/>
  <c r="ET22" i="41" s="1"/>
  <c r="EU22" i="41" s="1"/>
  <c r="ES20" i="41"/>
  <c r="ET20" i="41" s="1"/>
  <c r="EU20" i="41" s="1"/>
  <c r="ES23" i="41"/>
  <c r="ET23" i="41" s="1"/>
  <c r="EU23" i="41" s="1"/>
  <c r="ES14" i="41"/>
  <c r="ET14" i="41" s="1"/>
  <c r="EU14" i="41" s="1"/>
  <c r="ES13" i="41"/>
  <c r="ET13" i="41" s="1"/>
  <c r="EU13" i="41" s="1"/>
  <c r="ES30" i="41"/>
  <c r="ET30" i="41" s="1"/>
  <c r="EU30" i="41" s="1"/>
  <c r="ES15" i="41"/>
  <c r="ET15" i="41" s="1"/>
  <c r="EU15" i="41" s="1"/>
  <c r="ES21" i="41"/>
  <c r="ET21" i="41" s="1"/>
  <c r="EU21" i="41" s="1"/>
  <c r="ES31" i="41"/>
  <c r="ET31" i="41" s="1"/>
  <c r="EU31" i="41" s="1"/>
  <c r="ES19" i="41"/>
  <c r="ET19" i="41" s="1"/>
  <c r="EU19" i="41" s="1"/>
  <c r="ES25" i="41"/>
  <c r="ET25" i="41" s="1"/>
  <c r="EU25" i="41" s="1"/>
  <c r="ES17" i="41"/>
  <c r="ET17" i="41" s="1"/>
  <c r="EU17" i="41" s="1"/>
  <c r="ES24" i="41"/>
  <c r="ET24" i="41" s="1"/>
  <c r="EU24" i="41" s="1"/>
  <c r="ES26" i="41"/>
  <c r="ET26" i="41" s="1"/>
  <c r="EU26" i="41" s="1"/>
  <c r="ES28" i="41"/>
  <c r="ET28" i="41" s="1"/>
  <c r="EU28" i="41" s="1"/>
  <c r="ES12" i="41"/>
  <c r="ET12" i="41" s="1"/>
  <c r="EU12" i="41" s="1"/>
  <c r="ES29" i="41"/>
  <c r="ET29" i="41" s="1"/>
  <c r="EU29"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31" i="41"/>
  <c r="DL12" i="41"/>
  <c r="DL17" i="41"/>
  <c r="DL19" i="41"/>
  <c r="DL26" i="41"/>
  <c r="DL25" i="41"/>
  <c r="DQ30" i="41"/>
  <c r="DN12" i="41"/>
  <c r="DL16" i="41"/>
  <c r="DU31" i="41"/>
  <c r="DX12" i="41"/>
  <c r="DL15" i="41"/>
  <c r="DL18" i="41"/>
  <c r="DL21" i="41"/>
  <c r="DQ28" i="41"/>
  <c r="DX21" i="41"/>
  <c r="DU30" i="41"/>
  <c r="DQ23" i="41"/>
  <c r="DQ24" i="41"/>
  <c r="DQ26" i="41"/>
  <c r="DQ27" i="41"/>
  <c r="DU24" i="41"/>
  <c r="DL14" i="41"/>
  <c r="DN13" i="41"/>
  <c r="DQ14" i="41"/>
  <c r="DQ19" i="41"/>
  <c r="DL20" i="41"/>
  <c r="DL23" i="41"/>
  <c r="DL27" i="41"/>
  <c r="DQ29" i="41"/>
  <c r="DQ17" i="41"/>
  <c r="DL22" i="41"/>
  <c r="DX13" i="41"/>
  <c r="DN26" i="41"/>
  <c r="DN25" i="41"/>
  <c r="DU13" i="41"/>
  <c r="DU16" i="41"/>
  <c r="DU17" i="41"/>
  <c r="DX29" i="41"/>
  <c r="DN14" i="41"/>
  <c r="DN15" i="41"/>
  <c r="DN16" i="41"/>
  <c r="DN19" i="41"/>
  <c r="DX15" i="41"/>
  <c r="DX31" i="41"/>
  <c r="DN17" i="41"/>
  <c r="DN18" i="41"/>
  <c r="DN20" i="41"/>
  <c r="DN21" i="41"/>
  <c r="DQ16" i="41"/>
  <c r="DQ18" i="41"/>
  <c r="DQ20" i="41"/>
  <c r="DQ22" i="41"/>
  <c r="DQ25" i="41"/>
  <c r="DN27" i="41"/>
  <c r="DN30" i="41"/>
  <c r="DN29" i="41"/>
  <c r="DN28" i="41"/>
  <c r="DL29" i="41"/>
  <c r="DN31" i="41"/>
  <c r="DQ31" i="41"/>
  <c r="DU18" i="41"/>
  <c r="DU20" i="41"/>
  <c r="DU27" i="41"/>
  <c r="DN24" i="41"/>
  <c r="DN23" i="41"/>
  <c r="DN22" i="41"/>
  <c r="DL30" i="41"/>
  <c r="DU23" i="41"/>
  <c r="DU22" i="41"/>
  <c r="DU26" i="41"/>
  <c r="DU25" i="41"/>
  <c r="DX18" i="41"/>
  <c r="DX22" i="41"/>
  <c r="DX24" i="41"/>
  <c r="DX23" i="41"/>
  <c r="DX26" i="41"/>
  <c r="DX30" i="41"/>
  <c r="DL28" i="41"/>
  <c r="DP12" i="41"/>
  <c r="DP13" i="41"/>
  <c r="DP24" i="41"/>
  <c r="DP27" i="41"/>
  <c r="DU19" i="41"/>
  <c r="DU28" i="41"/>
  <c r="DU29" i="41"/>
  <c r="DX20" i="41"/>
  <c r="DX27" i="41"/>
  <c r="DQ12" i="41"/>
  <c r="DQ13" i="41"/>
  <c r="DQ15" i="41"/>
  <c r="DQ21" i="41"/>
  <c r="DU12" i="41"/>
  <c r="DX16" i="41"/>
  <c r="DX17" i="41"/>
  <c r="DX19" i="41"/>
  <c r="DX25" i="41"/>
  <c r="EA12" i="41"/>
  <c r="EA16" i="41"/>
  <c r="EA17" i="41"/>
  <c r="EA21" i="41"/>
  <c r="EA20" i="41"/>
  <c r="EA22" i="41"/>
  <c r="EA24" i="41"/>
  <c r="EA23" i="41"/>
  <c r="DP26" i="41"/>
  <c r="DU15" i="41"/>
  <c r="DU21" i="41"/>
  <c r="DX14" i="41"/>
  <c r="DX28" i="41"/>
  <c r="EA18" i="41"/>
  <c r="EA26" i="41"/>
  <c r="DU14" i="41"/>
  <c r="EA29" i="41"/>
  <c r="EA28" i="41"/>
  <c r="EA14" i="41"/>
  <c r="EA19" i="41"/>
  <c r="EA30" i="41"/>
  <c r="EA15" i="41"/>
  <c r="EA27" i="41"/>
  <c r="EA31" i="41"/>
  <c r="DP14" i="41"/>
  <c r="DP16" i="41"/>
  <c r="DP19" i="41"/>
  <c r="DP22" i="41"/>
  <c r="DP25" i="41"/>
  <c r="DP30" i="41"/>
  <c r="DP28" i="41"/>
  <c r="DP31" i="41"/>
  <c r="DP15" i="41"/>
  <c r="DP17" i="41"/>
  <c r="DP18" i="41"/>
  <c r="DP20" i="41"/>
  <c r="DP21" i="41"/>
  <c r="DP23" i="41"/>
  <c r="DP29" i="41"/>
  <c r="EC18" i="41" l="1"/>
  <c r="EC12" i="41"/>
  <c r="EC25" i="41"/>
  <c r="EC26" i="41"/>
  <c r="ED13" i="41"/>
  <c r="EC19" i="41"/>
  <c r="EC20" i="41"/>
  <c r="EC17" i="41"/>
  <c r="EC21" i="41"/>
  <c r="ED21" i="41"/>
  <c r="ED31" i="41"/>
  <c r="EC27" i="41"/>
  <c r="EC15" i="41"/>
  <c r="EC16" i="41"/>
  <c r="EC13" i="41"/>
  <c r="ED30" i="41"/>
  <c r="EC24" i="41"/>
  <c r="EC14" i="41"/>
  <c r="ED24" i="41"/>
  <c r="EC22" i="41"/>
  <c r="EC31" i="41"/>
  <c r="EC23" i="41"/>
  <c r="ED12" i="41"/>
  <c r="ED26" i="41"/>
  <c r="DR31" i="41"/>
  <c r="EB31" i="41" s="1"/>
  <c r="DR25" i="41"/>
  <c r="EB25" i="41" s="1"/>
  <c r="DR26" i="41"/>
  <c r="EB26" i="41" s="1"/>
  <c r="DR15" i="41"/>
  <c r="EB15" i="41" s="1"/>
  <c r="DR14" i="41"/>
  <c r="EB14" i="41" s="1"/>
  <c r="DR29" i="41"/>
  <c r="EB29" i="41" s="1"/>
  <c r="ED14" i="41"/>
  <c r="ED19" i="41"/>
  <c r="ED22" i="41"/>
  <c r="ED27" i="41"/>
  <c r="ED20"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15" i="41"/>
  <c r="ED28" i="41"/>
  <c r="EC28" i="41"/>
  <c r="ED18" i="41"/>
  <c r="EC29" i="41"/>
  <c r="DR21" i="41"/>
  <c r="EB21" i="41" s="1"/>
  <c r="DR20" i="41"/>
  <c r="EB20" i="41" s="1"/>
  <c r="DR28" i="41"/>
  <c r="EB28" i="41" s="1"/>
  <c r="DR23" i="41"/>
  <c r="EB23" i="41" s="1"/>
  <c r="DR17" i="41"/>
  <c r="EB17" i="41" s="1"/>
  <c r="EE13" i="41" l="1"/>
  <c r="EE24" i="41"/>
  <c r="EE31" i="41"/>
  <c r="EE21" i="41"/>
  <c r="EE23" i="41"/>
  <c r="EE18" i="41"/>
  <c r="EE15" i="41"/>
  <c r="EE22" i="41"/>
  <c r="EE27" i="41"/>
  <c r="EE14" i="41"/>
  <c r="EE26" i="41"/>
  <c r="EE16" i="41"/>
  <c r="EE17" i="41"/>
  <c r="EE30" i="41"/>
  <c r="EE25" i="41"/>
  <c r="EE29" i="41"/>
  <c r="EE12" i="41"/>
  <c r="EE20"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<sst xmlns="http://schemas.openxmlformats.org/spreadsheetml/2006/main" count="1787" uniqueCount="778">
  <si>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</si>
  <si>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</si>
  <si>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</si>
  <si>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</si>
  <si>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</si>
  <si>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</si>
  <si>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</si>
  <si>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</si>
  <si>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</si>
  <si>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</si>
  <si>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</si>
  <si>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</si>
  <si>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</si>
  <si>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</si>
  <si>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</si>
  <si>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</si>
  <si>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</si>
  <si>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</si>
  <si>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</si>
  <si>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</si>
  <si>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</si>
  <si>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</si>
  <si>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</si>
  <si>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</si>
  <si>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</si>
  <si>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</si>
  <si>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</si>
  <si>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</si>
  <si>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</si>
  <si>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</si>
  <si>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</si>
  <si>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</si>
  <si>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</si>
  <si>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</si>
  <si>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</si>
  <si>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</si>
  <si>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</si>
  <si>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</si>
  <si>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</si>
  <si>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</si>
  <si>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</si>
  <si>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</si>
  <si>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</si>
  <si>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</si>
  <si>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</si>
  <si>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</si>
  <si>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</si>
  <si>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</si>
  <si>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</si>
  <si>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</si>
  <si>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</si>
  <si>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</si>
  <si>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</si>
  <si>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</si>
  <si>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</si>
  <si>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</si>
  <si>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</si>
  <si>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</si>
  <si>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</si>
  <si>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</si>
  <si>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</si>
  <si>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</si>
  <si>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</si>
  <si>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</si>
  <si>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</si>
  <si>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</si>
  <si>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</si>
  <si>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</si>
  <si>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</si>
  <si>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</si>
  <si>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</si>
  <si>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</si>
  <si>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</si>
  <si>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</si>
  <si>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</si>
  <si>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</si>
  <si>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</si>
  <si>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</si>
  <si>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</si>
  <si>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</si>
  <si>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</si>
  <si>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</si>
  <si>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</si>
  <si>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</si>
  <si>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</si>
  <si>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</si>
  <si>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</si>
  <si>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</si>
  <si>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</si>
  <si>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</si>
  <si>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</si>
  <si>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</si>
  <si>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</si>
  <si>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</si>
  <si>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</si>
  <si>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</si>
  <si>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</si>
  <si>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</si>
  <si>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</si>
  <si>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</si>
  <si>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</si>
  <si>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</si>
  <si>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</si>
  <si>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</si>
  <si>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</si>
  <si>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</si>
  <si>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</si>
  <si>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</si>
  <si>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</si>
  <si>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</si>
  <si>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</si>
  <si>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</si>
  <si>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</si>
  <si>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</si>
  <si>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</si>
  <si>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</si>
  <si>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</si>
  <si>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</si>
  <si>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</si>
  <si>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</si>
  <si>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</si>
  <si>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</si>
  <si>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</si>
  <si>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</si>
  <si>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</si>
  <si>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</si>
  <si>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</si>
  <si>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</si>
  <si>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</si>
  <si>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</si>
  <si>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</si>
  <si>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</si>
  <si>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</si>
  <si>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</si>
  <si>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</si>
  <si>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</si>
  <si>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</si>
  <si>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</si>
  <si>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</si>
  <si>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</si>
  <si>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</si>
  <si>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</si>
  <si>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</si>
  <si>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</si>
  <si>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</si>
  <si>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</si>
  <si>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</si>
  <si>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</si>
  <si>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</si>
  <si>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</si>
  <si>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</si>
  <si>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</si>
  <si>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</si>
  <si>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</si>
  <si>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</si>
  <si>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</si>
  <si>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</si>
  <si>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</si>
  <si>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</si>
  <si>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</si>
  <si>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</si>
  <si>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</si>
  <si>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</si>
  <si>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</si>
  <si>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</si>
  <si>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</si>
  <si>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</si>
  <si>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</si>
  <si>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</si>
  <si>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</si>
  <si>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</si>
  <si>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</si>
  <si>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</si>
  <si>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</si>
  <si>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</si>
  <si>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</si>
  <si>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</si>
  <si>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</si>
  <si>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</si>
  <si>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</si>
  <si>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</si>
  <si>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</si>
  <si>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</si>
  <si>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</si>
  <si>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</si>
  <si>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</si>
  <si>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</si>
  <si>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</si>
  <si>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</si>
  <si>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</si>
  <si>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</si>
  <si>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</si>
  <si>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</si>
  <si>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</si>
  <si>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</si>
  <si>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</si>
  <si>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</si>
  <si>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</si>
  <si>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</si>
  <si>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</si>
  <si>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</si>
  <si>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</si>
  <si>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</si>
  <si>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</si>
  <si>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</si>
  <si>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</si>
  <si>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</si>
  <si>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</si>
  <si>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</si>
  <si>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</si>
  <si>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</si>
  <si>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</si>
  <si>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</si>
  <si>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</si>
  <si>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</si>
  <si>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</si>
  <si>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</si>
  <si>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</si>
  <si>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</si>
  <si>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</si>
  <si>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</si>
  <si>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</si>
  <si>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</si>
  <si>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</si>
  <si>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</si>
  <si>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</si>
  <si>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</si>
  <si>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</si>
  <si>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</si>
  <si>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</si>
  <si>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</si>
  <si>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</si>
  <si>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</si>
  <si>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</si>
  <si>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</si>
  <si>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</si>
  <si>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</si>
  <si>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</si>
  <si>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</si>
  <si>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</si>
  <si>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</si>
  <si>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</si>
  <si>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</si>
  <si>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</si>
  <si>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</si>
  <si>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</si>
  <si>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</si>
  <si>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</si>
  <si>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</si>
  <si>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</si>
  <si>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</si>
  <si>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</si>
  <si>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</si>
  <si>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</si>
  <si>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</si>
  <si>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</si>
  <si>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</si>
  <si>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</si>
  <si>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</si>
  <si>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</si>
  <si>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</si>
  <si>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</si>
  <si>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</si>
  <si>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</si>
  <si>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</si>
  <si>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</si>
  <si>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</si>
  <si>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</si>
  <si>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</si>
  <si>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</si>
  <si>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</si>
  <si>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</si>
  <si>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</si>
  <si>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</si>
  <si>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</si>
  <si>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</si>
  <si>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</si>
  <si>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</si>
  <si>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</si>
  <si>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</si>
  <si>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</si>
  <si>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</si>
  <si>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</si>
  <si>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</si>
  <si>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</si>
  <si>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</si>
  <si>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</si>
  <si>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</si>
  <si>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</si>
  <si>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Descripción del riesgo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</si>
  <si>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</si>
  <si>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</si>
  <si>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</si>
  <si>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</si>
  <si>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</si>
  <si>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</si>
  <si>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</si>
  <si>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</si>
  <si>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</si>
  <si>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</si>
  <si>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</si>
  <si>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</si>
  <si>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</si>
  <si>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</si>
  <si>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</si>
  <si>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</si>
  <si>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</si>
  <si>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</si>
  <si>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</si>
  <si>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</si>
  <si>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</si>
  <si>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</si>
  <si>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</si>
  <si>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</si>
  <si>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</si>
  <si>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</si>
  <si>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</si>
  <si>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</si>
  <si>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</si>
  <si>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</si>
  <si>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</si>
  <si>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</si>
  <si>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</si>
  <si>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</si>
  <si>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</si>
  <si>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</si>
  <si>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Fraude interno</t>
  </si>
  <si>
    <t xml:space="preserve">- Ningún otro proceso en el Sistema de Gestión de Calidad
</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</si>
  <si>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</si>
  <si>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</si>
  <si>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</si>
  <si>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</si>
  <si>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Identificación del riesgo
Tratamiento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</si>
  <si>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</si>
  <si>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</si>
  <si>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</si>
  <si>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Tratamiento del riesgo</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</si>
  <si>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</si>
  <si>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</si>
  <si>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Presiones o motivaciones individuales, sociales o colectivas que inciten a realizar conductas contrarias al deber ser.
- Presión o exigencias por parte de personas interesadas o motivación individual en el resultado del proceso disciplinario.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</si>
  <si>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</si>
  <si>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</si>
  <si>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Identificación del riesgo
Análisis antes de controles
Tratamiento del riesgo</t>
  </si>
  <si>
    <t xml:space="preserve">
Análisis antes de controles
Tratamiento del riesgo</t>
  </si>
  <si>
    <t xml:space="preserve">- Constante actualización de directrices Nacionales y Distritales, que puedan afectar o limitar el proceso auditor
</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</si>
  <si>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</si>
  <si>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</si>
  <si>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Procesos misionales en el Sistema de Gestión de Calidad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</si>
  <si>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</si>
  <si>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</si>
  <si>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</si>
  <si>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</si>
  <si>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</si>
  <si>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5. Fortalecer la prestación del servicio a la ciudadanía con oportunidad, eficiencia y transparencia, a través del uso de la tecnología y la cualificación de los servidores.</t>
  </si>
  <si>
    <t xml:space="preserve">- Desconocimiento por parte de algunos funcionarios acerca de las funciones de la entidad y elementos de la plataforma estratégica.
</t>
  </si>
  <si>
    <t xml:space="preserve">- Presiones o motivaciones de los ciudadanos que incitan al servidor público a realizar conductas contrarias al deber ser.
</t>
  </si>
  <si>
    <t xml:space="preserve">- Alta rotación de personal generando retrasos en la curva de aprendizaje.
- Debilidades en la comunicación clara y unificada en diferentes niveles de la entidad.
</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</si>
  <si>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</si>
  <si>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</si>
  <si>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</si>
  <si>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</si>
  <si>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</si>
  <si>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</si>
  <si>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</si>
  <si>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</si>
  <si>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</si>
  <si>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</si>
  <si>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</si>
  <si>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</si>
  <si>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</si>
  <si>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ya que las actividades de control preventivas son fuertes y mitigan la mayoría de las causas. El riesgo no disminuye el impacto.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</si>
  <si>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</si>
  <si>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</si>
  <si>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</si>
  <si>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</si>
  <si>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</si>
  <si>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</si>
  <si>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</si>
  <si>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</si>
  <si>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</si>
  <si>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1. Implementar estrategias y acciones que aporten a la construcción de la paz, la reparación, la memoria y la reconciliación en Bogotá región.</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</si>
  <si>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</si>
  <si>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</si>
  <si>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Jefe de Oficina Jurídica</t>
  </si>
  <si>
    <t>Oficina Jurídica</t>
  </si>
  <si>
    <t>Jefe Oficina de Control Disciplinario Interno</t>
  </si>
  <si>
    <t>Oficina de Control Disciplinario Interno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</si>
  <si>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</si>
  <si>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</si>
  <si>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</si>
  <si>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</si>
  <si>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</si>
  <si>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Ejecutar las auditorías internas de gestión, seguimientos y realizar informes de ley </t>
  </si>
  <si>
    <t>Fortalecimiento de la Gestión Pública</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</si>
  <si>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</si>
  <si>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</si>
  <si>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xml:space="preserve">Diseñar y emitir lineamientos, desarrollar estrategias, brindar, prestar servicios y realizar análisis, estudios e investigaciones para el fortalecimiento de la gestión pública distrital																																																																																															</t>
  </si>
  <si>
    <t>Gestión de Contratación</t>
  </si>
  <si>
    <t>Apoyo</t>
  </si>
  <si>
    <t>Desarrollar las actividades de Interventoría y/o supervisión</t>
  </si>
  <si>
    <t>Inicia con el ingreso de bienes al inventario de la entidad, continúa con su asignación, aseguramiento, mantenimiento y control, termina con su clasificación y baja.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</si>
  <si>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</si>
  <si>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</si>
  <si>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</si>
  <si>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</si>
  <si>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</si>
  <si>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Cambios de estructura organizacional que afecten el desempeño del proceso de gestión documental.
- Constante actualización de directrices y normas  Nacionales y Distritales aplicables al proceso.
- Altos costos de la tecnología.  
</t>
  </si>
  <si>
    <t>Gestión del Talento Humano</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</si>
  <si>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</si>
  <si>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Subdirector(a) Financiero(a)</t>
  </si>
  <si>
    <t>7. Mejorar la oportunidad en la ejecución de los recursos, a través del fortalecimiento de una cultura financiera, para lograr una gestión pública efectiva.</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</si>
  <si>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</si>
  <si>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</si>
  <si>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</si>
  <si>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Administrar canales de relacionamiento con la ciudadanía</t>
  </si>
  <si>
    <t>Medir y analizar la calidad en la prestación del servicio en los canales de relacionamiento con la Ciudadanía de la administración distrital</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</si>
  <si>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</si>
  <si>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</si>
  <si>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</si>
  <si>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</si>
  <si>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</si>
  <si>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</si>
  <si>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</si>
  <si>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Gestión de Servicios Administrativos y Tecnológicos</t>
  </si>
  <si>
    <t>Subsecretario(a) Distrital de Fortalecimiento Institucional</t>
  </si>
  <si>
    <t>Objetivos de Desarrollo Sostenible</t>
  </si>
  <si>
    <t>Sin asociación</t>
  </si>
  <si>
    <t>16. Paz, justicia e instituciones sólidas</t>
  </si>
  <si>
    <t>Dependencia</t>
  </si>
  <si>
    <t>Oficina Alta Consejería de Paz, Víctimas y Reconciliación</t>
  </si>
  <si>
    <t>Subdirección de Gestión Documental</t>
  </si>
  <si>
    <t>Observaciones</t>
  </si>
  <si>
    <t>CREADO</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</si>
  <si>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</si>
  <si>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</si>
  <si>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</si>
  <si>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</si>
  <si>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</si>
  <si>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</si>
  <si>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</si>
  <si>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</si>
  <si>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</si>
  <si>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</si>
  <si>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</si>
  <si>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</si>
  <si>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</si>
  <si>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</si>
  <si>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</si>
  <si>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</si>
  <si>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</si>
  <si>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</si>
  <si>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Identificación</t>
  </si>
  <si>
    <t>OK</t>
  </si>
  <si>
    <t>No se puede asociar varias actividades clave</t>
  </si>
  <si>
    <t>Ajusté la actividad clave según el nuevo proceso</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</si>
  <si>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</si>
  <si>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</si>
  <si>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</si>
  <si>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</si>
  <si>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</si>
  <si>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</si>
  <si>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</si>
  <si>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</si>
  <si>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</si>
  <si>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	Memorando:</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</si>
  <si>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</si>
  <si>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</si>
  <si>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</si>
  <si>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</si>
  <si>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	Cambios: Se asocia el riesgo al nuevo Mapa de procesos de la Secretaría General. Se cambia el nombre del  riesgo.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</si>
  <si>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 controles y análisis después de controles
•	Cambios: Se elimina asociación al proyecto de inversión 7869 "Implementación del modelo de gobierno abierto, accesible e incluyente de Bogotá" dado que desde el proceso no se participa en el alcance del proyecto.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</si>
  <si>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</si>
  <si>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</si>
  <si>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</si>
  <si>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</si>
  <si>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</si>
  <si>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</si>
  <si>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</si>
  <si>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y análisis de controles
•	Cambios: Se ajustan los controles, de acuerdo a la actualización del procedimiento. Se actualiza el nombre del proceso al cual está asociado el riesgo.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</si>
  <si>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</si>
  <si>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</si>
  <si>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</si>
  <si>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Marco Aurelio Gómez</t>
  </si>
  <si>
    <t>Diana Marcela Velazco</t>
  </si>
  <si>
    <t>Ivan Mauricio Durán</t>
  </si>
  <si>
    <t>Mario Alberto Chacón</t>
  </si>
  <si>
    <t>Johan Sebastián Sáenz</t>
  </si>
  <si>
    <t>Julio Roberto Garzón</t>
  </si>
  <si>
    <t>Carmen Liliana Carrillo</t>
  </si>
  <si>
    <t>Sindy Sthepanie</t>
  </si>
  <si>
    <t>Kelly Mireya Correa</t>
  </si>
  <si>
    <t>Ivan Javier Gómez</t>
  </si>
  <si>
    <t>Heidy Yobanna Moreno Moreno</t>
  </si>
  <si>
    <t>Diana Carolina Cárdenas Clavijo</t>
  </si>
  <si>
    <t>Diego Fernando Peña</t>
  </si>
  <si>
    <t>Maria Camila Barrera</t>
  </si>
  <si>
    <t>Paulo Ernesto Realpe</t>
  </si>
  <si>
    <t>Linda Reales</t>
  </si>
  <si>
    <t>Alvaro Arias Cruz</t>
  </si>
  <si>
    <t>Katina Durán Salcedo</t>
  </si>
  <si>
    <t>María Carolina Cardenas Villamil</t>
  </si>
  <si>
    <t>Jorge Eliecer Gómez</t>
  </si>
  <si>
    <t>Rafael Londoño</t>
  </si>
  <si>
    <t>Gestor</t>
  </si>
  <si>
    <t>Administrador del riesgo</t>
  </si>
  <si>
    <t>VISTO BUENO METODOLÒGICO</t>
  </si>
  <si>
    <t>Linda Katherine Chingate Velez</t>
  </si>
  <si>
    <t>OPCIÓN DE TRATAMIENTO</t>
  </si>
  <si>
    <t>APROBACIÓN</t>
  </si>
  <si>
    <t>MENSAJE</t>
  </si>
  <si>
    <t>O</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</si>
  <si>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</si>
  <si>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</si>
  <si>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</si>
  <si>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</si>
  <si>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</si>
  <si>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</si>
  <si>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</si>
  <si>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</si>
  <si>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</si>
  <si>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</si>
  <si>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</si>
  <si>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</si>
  <si>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</si>
  <si>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</si>
  <si>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</si>
  <si>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</si>
  <si>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</si>
  <si>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</si>
  <si>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</si>
  <si>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EQUPO SIG-MIPG ajustes para pasar a Análisis del riego</t>
  </si>
  <si>
    <t>Controles correctivos x proceso</t>
  </si>
  <si>
    <t>Enfoque del riesgo</t>
  </si>
  <si>
    <t>Id del riesgo en el Aplicativo DARUMA</t>
  </si>
  <si>
    <t>Código del riesgo en el Aplicativo DARUMA</t>
  </si>
  <si>
    <t>Responsable del riesgo</t>
  </si>
  <si>
    <t>Acciones frente a las características de los controles y la valoración de riesgos</t>
  </si>
  <si>
    <t>Responsable de ejecución (acciones tratamiento)</t>
  </si>
  <si>
    <t>Nombre del plan en el Aplicativo DARUMA</t>
  </si>
  <si>
    <t>Id de la acción en el Aplicativo DARUMA</t>
  </si>
  <si>
    <t>Fecha de inicio (acciones tratamiento)</t>
  </si>
  <si>
    <t>Fecha de terminación (acciones tratamiento)</t>
  </si>
  <si>
    <t>-</t>
  </si>
  <si>
    <t>Componente</t>
  </si>
  <si>
    <t>Riesgo</t>
  </si>
  <si>
    <t>Cambio realizado</t>
  </si>
  <si>
    <t>Justificación del cambio</t>
  </si>
  <si>
    <t>PLAN DE ACCIÓN</t>
  </si>
  <si>
    <t>Fecha (control de cambios)</t>
  </si>
  <si>
    <t>Fecha inicio de corte plan de acción</t>
  </si>
  <si>
    <t>Fecha fin de corte plan de acción</t>
  </si>
  <si>
    <t>Versión (fecha del mapa de riesgos institucional)</t>
  </si>
  <si>
    <t>María Camila Reyes</t>
  </si>
  <si>
    <t>María Yenifer Prada</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</si>
  <si>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</si>
  <si>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</si>
  <si>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</si>
  <si>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</si>
  <si>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</si>
  <si>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</si>
  <si>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</si>
  <si>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No aplica</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</si>
  <si>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</si>
  <si>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</si>
  <si>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Jefe de la Oficina de Control Disciplinario Interno
- Jefe de la Oficina de Control Disciplinario Interno
</t>
  </si>
  <si>
    <t xml:space="preserve">01/02/2024
01/04/2024
</t>
  </si>
  <si>
    <t xml:space="preserve">30/11/2024
31/12/2024
</t>
  </si>
  <si>
    <t xml:space="preserve">
Establecimiento de controles
Tratamiento del riesgo</t>
  </si>
  <si>
    <t>Se eliminan los controles asociados al Proceso Disciplinario Verbal” Código 2210113-PR-008, Versión 012.
Se formulan acciones de Tratamiento a 2024</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</si>
  <si>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</si>
  <si>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</si>
  <si>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</si>
  <si>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</si>
  <si>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</si>
  <si>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</si>
  <si>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</si>
  <si>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</si>
  <si>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Identificación del riesgo
Establecimiento de controles
Tratamiento del riesgo</t>
  </si>
  <si>
    <t>Se realizó ajuste en la redacción del riesgo para enfocarlo en las conclusiones ajustadas para intereses propios o de terceros, en el resultado de las auditorías
Se incluyó control detectivo para el riesgo.
Se formula la propuesta de acción de tratamiento del riesgo a 2024.</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</si>
  <si>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</si>
  <si>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</si>
  <si>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</si>
  <si>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</si>
  <si>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</si>
  <si>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</si>
  <si>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</si>
  <si>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</si>
  <si>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</si>
  <si>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</si>
  <si>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</si>
  <si>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</si>
  <si>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Se ajusta el contexto del proceso.
Se ajusta la opción donde se señalan los procesos posiblemente afectados con este riesgo. 
Se asocia el servicio Consulta del patrimonio documental de Bogotá
Se ajustan causas internas y causas externas
Se definen acciones de tratamiento para la mitigación del riesgo</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</si>
  <si>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</si>
  <si>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</si>
  <si>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</si>
  <si>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</si>
  <si>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</si>
  <si>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</si>
  <si>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</si>
  <si>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</si>
  <si>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</si>
  <si>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</si>
  <si>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Identificación del riesgo
Establecimiento de controles
Evaluación de controles
Tratamiento del riesgo</t>
  </si>
  <si>
    <t>Se ajusta el contexto del proceso.
Se actualiza nombre del riesgo
Se ajusta la opción donde se señalan los procesos posiblemente afectados con este riesgo. 
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Se actualizan controles por actualización de procedimiento PR-293 Revisión y evaluación de las Tablas de Retención Documental –TRD y Tablas de Valoración Documental –TVD
Se ajustan causas internas y causas externas
Se definen acciones de tratamiento para la mitigación del riesgo</t>
  </si>
  <si>
    <t xml:space="preserve">- Procesos estratégicos en el Sistema de Gestión de Calidad
</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</si>
  <si>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</si>
  <si>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</si>
  <si>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Gestionar los Procesos Contractuales
Fase (propósito): Fortalecer la gestión corporativa, jurídica y la estrategia de comunicación conforme con las necesidades de la operación misional de la Entidad.</t>
  </si>
  <si>
    <t>7873 Fortalecimiento de la capacidad institucional de la Secretaría General</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</si>
  <si>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</si>
  <si>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</si>
  <si>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Se incluyó una acción de tratamiento del riesgo  para la vigencia 2024
Se ajustó el número de veces que se ejecutó la actividad clave asociada al riesgo, en el periodo de un (1) año.</t>
  </si>
  <si>
    <t>- Dirección de Contratación
- Director(a) de Contratación
- Director(a) de Contratación
- Dirección de Contratación</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</si>
  <si>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</si>
  <si>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Director de Contratación
- Director de Contratación
</t>
  </si>
  <si>
    <t xml:space="preserve">01/03/2024
01/03/2024
</t>
  </si>
  <si>
    <t xml:space="preserve">30/06/2024
30/06/2024
</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</si>
  <si>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</si>
  <si>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</si>
  <si>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</si>
  <si>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</si>
  <si>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</si>
  <si>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</si>
  <si>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</si>
  <si>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</si>
  <si>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Administrar los bienes adquiridos mediante su recepción, asignación, mantenimiento, control y baja de los mismos con el fin de cubrir las necesidades de recursos físicos de las dependencias de la Secretaría General de la Alcaldía Mayor de Bogotá D.C.</t>
  </si>
  <si>
    <t>Subdirector(a) de Servicios Administrativos y Jefe Oficina de Tecnologías de la Información y las Comunicaciones</t>
  </si>
  <si>
    <t xml:space="preserve">- Procesos de apoyo en el Sistema de Gestión de Calidad
</t>
  </si>
  <si>
    <t>- Subdirección de Servicios Administrativos
- Subdirector(a) de Servicios Administrativos
- Subdirector(a) de Servicios Administrativos
- Subdirector(a) de Servicios Administrativos
- Subdirección de Servicios Administrativos</t>
  </si>
  <si>
    <t xml:space="preserve">Administrar los Inventarios de bienes de la entidad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</si>
  <si>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</si>
  <si>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</si>
  <si>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</si>
  <si>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xml:space="preserve">30/06/2024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</si>
  <si>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</si>
  <si>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</si>
  <si>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Se incluyó una acción de tratamiento del riesgo para la vigencia 2024
Se ajustó el número de veces que se ejecutó la actividad clave asociada al riesgo, en el periodo de un (1) año.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</si>
  <si>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</si>
  <si>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</si>
  <si>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</si>
  <si>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</si>
  <si>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</si>
  <si>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</si>
  <si>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</si>
  <si>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</si>
  <si>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 xml:space="preserve">- Realizar una campaña de comunicación interna enfocada en las solicitudes que se pueden atender con los recursos de la caja menor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</si>
  <si>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</si>
  <si>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</si>
  <si>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</si>
  <si>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Se incluye acción de tratamiento para el riesgo.</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</si>
  <si>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</si>
  <si>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</si>
  <si>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</si>
  <si>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</si>
  <si>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</si>
  <si>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</si>
  <si>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</si>
  <si>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</si>
  <si>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Se ajustaron las causas internas y se agrego una acción de tratamiento para la vigencia 2024
Se ajustó los centros de costo de los documentos asociados a las actividades de control del riesgo
Se incluye acción de tratamiento para el riesgo.</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</si>
  <si>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</si>
  <si>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</si>
  <si>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</si>
  <si>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Desarrollar conciliación automática de los saldos entre el sistema PERNO VS Sistema Contable LIMAY
</t>
  </si>
  <si>
    <t xml:space="preserve">- Subdirector Financiero
</t>
  </si>
  <si>
    <t xml:space="preserve">01/04/2024
</t>
  </si>
  <si>
    <t xml:space="preserve">31/10/2024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</si>
  <si>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</si>
  <si>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</si>
  <si>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</si>
  <si>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Se actualizan los controles preventivos y detectivos frente al riesgo.
Se define la propuesta de acción de tratamiento a 2024.</t>
  </si>
  <si>
    <t>Garantizar el registro adecuado y oportuno de los hechos económicos de la Entidad, que permite elaborar y presentar los estados financieros.</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</si>
  <si>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</si>
  <si>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</si>
  <si>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</si>
  <si>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</si>
  <si>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</si>
  <si>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</si>
  <si>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</si>
  <si>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Gestionar la defensa judicial y extrajudicial de la Secretaria General</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</si>
  <si>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</si>
  <si>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</si>
  <si>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</si>
  <si>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</si>
  <si>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</si>
  <si>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</si>
  <si>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</si>
  <si>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</si>
  <si>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</si>
  <si>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De acuerdo con la actualización de la DOFA, se ajusto los factores del riesgo y las causas externas. 
Se realizó el análisis de controles de la probabilidad por el criterio de frecuencia y se actualizo la valoración del impacto.
Se realizó el análisis después de controles teniendo en cuenta la valoración obtenida con los controles definidos.
Se definió el impacto de acuerdo con la valoración obtenida del criterio corrupción.
Se ajustó la redacción de los controles preventivos  y detectivos
Se definió la acción de tratamiento a 2024</t>
  </si>
  <si>
    <t>Subsecretario(a) de Servicio a la Ciudadanía y Jefe de Oficina de Alta Consejería Distrital de Tecnologías de Información y Comunicaciones –TIC</t>
  </si>
  <si>
    <t>Dirección del Sistema Distrital de Servicio a la Ciudadanía</t>
  </si>
  <si>
    <t xml:space="preserve">- Información general y orientación de Trámites y Servicios a la ciudadanía en los canales de atención de la RED CADE
</t>
  </si>
  <si>
    <t xml:space="preserve">Dirección Distrital de Calidad del Servicio </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</si>
  <si>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</si>
  <si>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</si>
  <si>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</si>
  <si>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</si>
  <si>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</si>
  <si>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</si>
  <si>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</si>
  <si>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</si>
  <si>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</si>
  <si>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Se ajusta el nombre del riesgo incorporando en su redacción el nombre del el servicio asociado a este.
Se relaciona el servicio "Información general y orientación de Trámites y Servicios a la ciudadanía en los canales de atención de la RED CADE" en la lista desplegable.
Se ajusta la valoración por probabilidad antes de controles en cuanto a la ocurrencia del riesgo, dado que no se ha materializado en los últimos 4 años, así mismo, se ajusta la explicación de la valoración obtenida.
Se ajusta la redacción de controles en cuanto a los centros de costo relacionados a los documentos
Se define la acción preventiva para evitar la materialización del riesgo.</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</si>
  <si>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</si>
  <si>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</si>
  <si>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</si>
  <si>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</si>
  <si>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</si>
  <si>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Se define la acción preventiva para evitar la materialización del riesgo.</t>
  </si>
  <si>
    <t>Oficina de Alta Consejería Distrital de Tecnologías de Información y Comunicaciones –TIC</t>
  </si>
  <si>
    <t xml:space="preserve">- Proyectos (ATIC)
- Asesoría técnica a entidades distritales
</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</si>
  <si>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</si>
  <si>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</si>
  <si>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</si>
  <si>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</si>
  <si>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</si>
  <si>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</si>
  <si>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</si>
  <si>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</si>
  <si>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Se ajusta el nombre en cuanto a redacción.
Se relacionan los servicios "Asesoría técnica a entidades distritales y Proyectos" asociados al riesgo.
Se ajusta la redacción de la explicación de la valoración obtenida después de controles, para dar mayor claridad.
Se define la acción preventiva para evitar la materialización del riesgo.
Se ajustan los controles correctivos en coherencia con el ajuste efectuado en las acciones de contingencia del riesgo.
Se ajustan las acciones de contingencia.</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</si>
  <si>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</si>
  <si>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</si>
  <si>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Otorgamiento de la ayuda humanitaria inmediata
</t>
  </si>
  <si>
    <t>7871 Construcción de Bogotá-región como territorio de paz para las víctimas y la reconciliación</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</si>
  <si>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</si>
  <si>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</si>
  <si>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xml:space="preserve">01/03/2024
</t>
  </si>
  <si>
    <t xml:space="preserve">30/09/2024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</si>
  <si>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</si>
  <si>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</si>
  <si>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</si>
  <si>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Identificación del riesgo
Análisis antes de controles
Establecimiento de controles
Tratamiento del riesgo</t>
  </si>
  <si>
    <t>Se ajustan los controles, de acuerdo a la actualización del procedimiento 4130000-PR-315 “Otorgar ayuda o atención humanitaria inmediata”
Se ajustan las causas, y se define la acción de tratamiento 2024.</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</si>
  <si>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</si>
  <si>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</si>
  <si>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Oficina de Control Disciplinario Interno, Oficina Jurídica y Despacho de la Secretaría General</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</si>
  <si>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</si>
  <si>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Profesionales Subdirección de Servicios Administrativos
</t>
  </si>
  <si>
    <t xml:space="preserve">31/12/2024
31/12/2024
</t>
  </si>
  <si>
    <t xml:space="preserve">28/04/2024
</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</si>
  <si>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</si>
  <si>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</si>
  <si>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8. Fomentar la innovación y la gestión del conocimiento, a través del fortalecimiento de las competencias del talento humano de la entidad, con el propósito de mejorar la capacidad institucional y su gestión.</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</si>
  <si>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</si>
  <si>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</si>
  <si>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</si>
  <si>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</si>
  <si>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</si>
  <si>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</si>
  <si>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</si>
  <si>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</si>
  <si>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</si>
  <si>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15/02/2024
15/02/2024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</si>
  <si>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</si>
  <si>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</si>
  <si>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</si>
  <si>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Se ajustó la redacción de las actividades de control preventivo y detectivo.
Se retiró control detectivo # 5 por encontrarse duplicado..
Se definieron acciones de tratamiento para la vigencia  2024.</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</si>
  <si>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</si>
  <si>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</si>
  <si>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</si>
  <si>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</si>
  <si>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</si>
  <si>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</si>
  <si>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</si>
  <si>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</si>
  <si>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</si>
  <si>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</si>
  <si>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Se ajustó la redacción de las actividades de control preventivo y detectivo.
Se definió acción de tratamiento para la vigencia  2024.</t>
  </si>
  <si>
    <t>Ejecutar las actividades del Sistema de Gestión de la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</si>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</sst>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thin">
        <color indexed="64"/>
      </left>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59">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0" fillId="0" borderId="11" xfId="0" applyBorder="1" applyProtection="1">
      <protection hidden="1"/>
    </xf>
    <xf numFmtId="0" fontId="0" fillId="2" borderId="0" xfId="0" applyFill="1" applyProtection="1">
      <protection hidden="1"/>
    </xf>
    <xf numFmtId="0" fontId="15" fillId="27" borderId="0" xfId="0" applyFont="1" applyFill="1" applyAlignment="1" applyProtection="1">
      <alignment horizontal="center" vertical="center"/>
      <protection hidden="1"/>
    </xf>
    <xf numFmtId="0" fontId="18" fillId="13"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1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8" fillId="7" borderId="0" xfId="0" applyFont="1" applyFill="1" applyAlignment="1" applyProtection="1">
      <alignment horizontal="center" vertical="center"/>
      <protection hidden="1"/>
    </xf>
    <xf numFmtId="0" fontId="7" fillId="0" borderId="0" xfId="0" applyFont="1" applyProtection="1">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0" borderId="12" xfId="0" applyBorder="1" applyProtection="1">
      <protection hidden="1"/>
    </xf>
    <xf numFmtId="0" fontId="18"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6" fillId="0" borderId="0" xfId="0" applyFont="1" applyProtection="1">
      <protection hidden="1"/>
    </xf>
    <xf numFmtId="0" fontId="19" fillId="7" borderId="0" xfId="0" applyFont="1" applyFill="1" applyAlignment="1" applyProtection="1">
      <alignment horizontal="center" vertical="center"/>
      <protection hidden="1"/>
    </xf>
    <xf numFmtId="0" fontId="19" fillId="13" borderId="0" xfId="0" applyFont="1" applyFill="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Alignment="1">
      <alignment horizontal="center" vertical="center"/>
    </xf>
    <xf numFmtId="0" fontId="0" fillId="0" borderId="5" xfId="0" applyBorder="1" applyAlignment="1">
      <alignment horizontal="center" vertical="center"/>
    </xf>
    <xf numFmtId="0" fontId="1" fillId="0" borderId="15" xfId="0" applyFont="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1" fillId="0" borderId="15" xfId="0" applyFont="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Border="1" applyProtection="1">
      <protection hidden="1"/>
    </xf>
    <xf numFmtId="0" fontId="1" fillId="0" borderId="9" xfId="0" applyFont="1" applyBorder="1" applyAlignment="1" applyProtection="1">
      <alignment horizontal="center" vertical="center"/>
      <protection hidden="1"/>
    </xf>
    <xf numFmtId="0" fontId="0" fillId="0" borderId="0" xfId="0"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1" fillId="0" borderId="15" xfId="0" applyFont="1" applyBorder="1" applyAlignment="1">
      <alignment horizontal="center" vertical="center"/>
    </xf>
    <xf numFmtId="0" fontId="15" fillId="12" borderId="0" xfId="0" applyFont="1" applyFill="1" applyAlignment="1">
      <alignment horizontal="left" vertical="center"/>
    </xf>
    <xf numFmtId="0" fontId="0" fillId="0" borderId="0" xfId="0"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Border="1" applyAlignment="1">
      <alignment horizontal="left" vertical="center"/>
    </xf>
    <xf numFmtId="0" fontId="1" fillId="0" borderId="5" xfId="0" applyFont="1" applyBorder="1" applyAlignment="1">
      <alignment horizontal="center" vertical="center"/>
    </xf>
    <xf numFmtId="0" fontId="8" fillId="0" borderId="0" xfId="0" applyFont="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17"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0" fillId="0" borderId="4" xfId="0" applyFont="1" applyBorder="1" applyAlignment="1" applyProtection="1">
      <alignment horizontal="justify" vertical="center" wrapText="1"/>
      <protection hidden="1"/>
    </xf>
    <xf numFmtId="164" fontId="10" fillId="0" borderId="1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0" fillId="0" borderId="23" xfId="0"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0" fillId="0" borderId="20" xfId="0" applyFont="1" applyBorder="1" applyAlignment="1" applyProtection="1">
      <alignment horizontal="justify" vertical="center" wrapText="1"/>
      <protection hidden="1"/>
    </xf>
    <xf numFmtId="0" fontId="10" fillId="0" borderId="15" xfId="0" applyFont="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textRotation="90" wrapText="1"/>
      <protection hidden="1"/>
    </xf>
    <xf numFmtId="9" fontId="10" fillId="0" borderId="4" xfId="0" applyNumberFormat="1" applyFont="1" applyBorder="1" applyAlignment="1" applyProtection="1">
      <alignment horizontal="center" vertical="center" textRotation="90" wrapText="1"/>
      <protection hidden="1"/>
    </xf>
    <xf numFmtId="0" fontId="10" fillId="0" borderId="4" xfId="0" quotePrefix="1" applyFont="1" applyBorder="1" applyAlignment="1" applyProtection="1">
      <alignment horizontal="justify" vertical="center" wrapText="1"/>
      <protection hidden="1"/>
    </xf>
    <xf numFmtId="166" fontId="10" fillId="0" borderId="4" xfId="0" applyNumberFormat="1" applyFont="1" applyBorder="1" applyAlignment="1" applyProtection="1">
      <alignment horizontal="center" vertical="center" wrapText="1"/>
      <protection hidden="1"/>
    </xf>
    <xf numFmtId="14" fontId="10" fillId="0" borderId="4" xfId="0" quotePrefix="1" applyNumberFormat="1" applyFont="1" applyBorder="1" applyAlignment="1" applyProtection="1">
      <alignment horizontal="justify" vertical="center" wrapText="1"/>
      <protection hidden="1"/>
    </xf>
    <xf numFmtId="0" fontId="22" fillId="0" borderId="13" xfId="0" applyFont="1" applyBorder="1" applyAlignment="1" applyProtection="1">
      <alignment vertical="center" wrapText="1"/>
      <protection hidden="1"/>
    </xf>
    <xf numFmtId="0" fontId="0" fillId="0" borderId="26"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13" xfId="0" applyNumberFormat="1" applyBorder="1" applyAlignment="1" applyProtection="1">
      <alignment horizontal="center" wrapText="1"/>
      <protection hidden="1"/>
    </xf>
    <xf numFmtId="0" fontId="0" fillId="0" borderId="4" xfId="0" applyBorder="1" applyAlignment="1" applyProtection="1">
      <alignment vertical="center" wrapText="1"/>
      <protection hidden="1"/>
    </xf>
    <xf numFmtId="0" fontId="0" fillId="0" borderId="28" xfId="0" applyNumberFormat="1" applyBorder="1" applyAlignment="1" applyProtection="1">
      <alignment horizontal="center" vertical="center" wrapText="1"/>
      <protection hidden="1"/>
    </xf>
    <xf numFmtId="0" fontId="0" fillId="0" borderId="29" xfId="0" applyBorder="1" applyAlignment="1" applyProtection="1">
      <alignment horizontal="left" vertical="center" wrapText="1"/>
      <protection hidden="1"/>
    </xf>
    <xf numFmtId="0" fontId="0" fillId="0" borderId="27" xfId="0" applyNumberFormat="1" applyBorder="1" applyAlignment="1" applyProtection="1">
      <alignment horizontal="center" vertical="center" wrapText="1"/>
      <protection hidden="1"/>
    </xf>
    <xf numFmtId="0" fontId="0" fillId="0" borderId="16" xfId="0" applyNumberFormat="1" applyBorder="1" applyAlignment="1" applyProtection="1">
      <alignment horizontal="center" vertical="center" wrapText="1"/>
      <protection hidden="1"/>
    </xf>
    <xf numFmtId="0" fontId="0" fillId="0" borderId="4" xfId="0" applyNumberFormat="1" applyBorder="1" applyAlignment="1" applyProtection="1">
      <alignment horizontal="center" wrapText="1"/>
      <protection hidden="1"/>
    </xf>
    <xf numFmtId="0" fontId="0" fillId="0" borderId="29" xfId="0" applyNumberFormat="1" applyBorder="1" applyAlignment="1" applyProtection="1">
      <alignment horizontal="center" vertical="center" wrapText="1"/>
      <protection hidden="1"/>
    </xf>
    <xf numFmtId="0" fontId="11" fillId="0" borderId="0" xfId="1" applyBorder="1" applyAlignment="1" applyProtection="1">
      <alignment vertical="center"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2" fillId="0" borderId="0" xfId="0" applyFont="1" applyAlignment="1" applyProtection="1">
      <alignment wrapText="1"/>
      <protection hidden="1"/>
    </xf>
    <xf numFmtId="0" fontId="4" fillId="0" borderId="4"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3" fillId="0" borderId="30"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1" fillId="2" borderId="0" xfId="0" applyFont="1" applyFill="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1" fillId="0" borderId="0" xfId="1" applyBorder="1" applyAlignment="1" applyProtection="1">
      <alignment horizontal="center" vertical="center" wrapText="1"/>
      <protection hidden="1"/>
    </xf>
  </cellXfs>
  <cellStyles count="4">
    <cellStyle name="Hipervínculo" xfId="1" builtinId="8"/>
    <cellStyle name="Normal" xfId="0" builtinId="0"/>
    <cellStyle name="Normal 2" xfId="2"/>
    <cellStyle name="Porcentaje" xfId="3" builtinId="5"/>
  </cellStyles>
  <dxfs count="131">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border>
        <left style="thin">
          <color indexed="64"/>
        </left>
      </border>
    </dxf>
    <dxf>
      <border>
        <left style="thin">
          <color indexed="64"/>
        </left>
      </border>
    </dxf>
    <dxf>
      <border>
        <horizontal style="dashed">
          <color indexed="64"/>
        </horizontal>
      </border>
    </dxf>
    <dxf>
      <border>
        <horizontal style="dashed">
          <color indexed="64"/>
        </horizontal>
      </border>
    </dxf>
    <dxf>
      <border>
        <bottom style="dashed">
          <color indexed="64"/>
        </bottom>
      </border>
    </dxf>
    <dxf>
      <border>
        <bottom style="dashed">
          <color indexed="64"/>
        </bottom>
      </border>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border>
        <left style="thin">
          <color indexed="64"/>
        </lef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[Mapa_de_Riesgos_Institucional_Corrupción_2024-01-29_sc.xlsx]Procesos_riesgos!TablaDinámica3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2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[Mapa_de_Riesgos_Institucional_Corrupción_2024-01-29_sc.xlsx]Procesos_riesgos!TablaDinámica1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Procesos_riesgos!$A$32:$A$45</c:f>
              <c:strCache>
                <c:ptCount val="13"/>
                <c:pt idx="0">
                  <c:v>Dirección de Contratación</c:v>
                </c:pt>
                <c:pt idx="1">
                  <c:v>Dirección de Talento Humano</c:v>
                </c:pt>
                <c:pt idx="2">
                  <c:v>Dirección Distrital de Archivo de Bogotá</c:v>
                </c:pt>
                <c:pt idx="3">
                  <c:v>Oficina Alta Consejería de Paz, Víctimas y Reconciliación</c:v>
                </c:pt>
                <c:pt idx="4">
                  <c:v>Oficina de Control Interno</c:v>
                </c:pt>
                <c:pt idx="5">
                  <c:v>Subdirección de Gestión Documental</c:v>
                </c:pt>
                <c:pt idx="6">
                  <c:v>Subdirección de Servicios Administrativos</c:v>
                </c:pt>
                <c:pt idx="7">
                  <c:v>Subdirección Financiera</c:v>
                </c:pt>
                <c:pt idx="8">
                  <c:v>Oficina de Control Disciplinario Interno, Oficina Jurídica y Despacho de la Secretaría General</c:v>
                </c:pt>
                <c:pt idx="9">
                  <c:v>Oficina Jurídica </c:v>
                </c:pt>
                <c:pt idx="10">
                  <c:v>Dirección del Sistema Distrital de Servicio a la Ciudadanía</c:v>
                </c:pt>
                <c:pt idx="11">
                  <c:v>Dirección Distrital de Calidad del Servicio </c:v>
                </c:pt>
                <c:pt idx="12">
                  <c:v>Oficina de Alta Consejería Distrital de Tecnologías de Información y Comunicaciones –TIC</c:v>
                </c:pt>
              </c:strCache>
            </c:strRef>
          </c:cat>
          <c:val>
            <c:numRef>
              <c:f>Procesos_riesgos!$B$32:$B$45</c:f>
              <c:numCache>
                <c:formatCode>General</c:formatCode>
                <c:ptCount val="13"/>
                <c:pt idx="0">
                  <c:v>2</c:v>
                </c:pt>
                <c:pt idx="1">
                  <c:v>3</c:v>
                </c:pt>
                <c:pt idx="2">
                  <c:v>2</c:v>
                </c:pt>
                <c:pt idx="3">
                  <c:v>1</c:v>
                </c:pt>
                <c:pt idx="4">
                  <c:v>1</c:v>
                </c:pt>
                <c:pt idx="5">
                  <c:v>1</c:v>
                </c:pt>
                <c:pt idx="6">
                  <c:v>3</c:v>
                </c:pt>
                <c:pt idx="7">
                  <c:v>2</c:v>
                </c:pt>
                <c:pt idx="8">
                  <c:v>1</c:v>
                </c:pt>
                <c:pt idx="9">
                  <c:v>1</c:v>
                </c:pt>
                <c:pt idx="10">
                  <c:v>1</c:v>
                </c:pt>
                <c:pt idx="11">
                  <c:v>1</c:v>
                </c:pt>
                <c:pt idx="12">
                  <c:v>1</c:v>
                </c:pt>
              </c:numCache>
            </c:numRef>
          </c:val>
          <c:extLst>
            <c:ext xmlns:c16="http://schemas.microsoft.com/office/drawing/2014/chart" uri="{C3380CC4-5D6E-409C-BE32-E72D297353CC}">
              <c16:uniqueId val="{00000000-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7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5277.711822685182" createdVersion="6" refreshedVersion="6" minRefreshableVersion="3" recordCount="20">
  <cacheSource type="worksheet">
    <worksheetSource ref="A11:BZ31" sheet="Mapa_riesgos"/>
  </cacheSource>
  <cacheFields count="102">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2"/>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8.3999999999999991E-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23T00:00:00" maxDate="2023-12-14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rcos" refreshedDate="45277.711824074075" createdVersion="7" refreshedVersion="6" minRefreshableVersion="3" recordCount="2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ount="33">
        <s v="Oficina de Control Disciplinario Interno, Oficina Jurídica y Despacho de la Secretaría General"/>
        <s v="Oficina de Control Interno"/>
        <s v="Dirección Distrital de Archivo de Bogotá"/>
        <s v="Dirección de Contratación"/>
        <s v="Subdirección de Servicios Administrativos"/>
        <s v="Subdirección de Gestión Documental"/>
        <s v="Dirección de Talento Humano"/>
        <s v="Subdirección Financiera"/>
        <s v="Oficina Jurídica "/>
        <s v="Dirección del Sistema Distrital de Servicio a la Ciudadanía"/>
        <s v="Dirección Distrital de Calidad del Servicio "/>
        <s v="Oficina de Alta Consejería Distrital de Tecnologías de Información y Comunicaciones –TIC"/>
        <s v="Oficina Alta Consejería de Paz, Víctimas y Reconciliación"/>
        <s v="Dirección Distrital de Relaciones Internacionales " u="1"/>
        <s v="Oficina Asesora de Planeación" u="1"/>
        <s v="Oficina Asesora de Planeación_x000a_Oficina de Tecnologías de la Información y las Comunicaciones" u="1"/>
        <s v="Oficina Asesora de Planeación " u="1"/>
        <s v="Oficina Consejería de Comunicaciones" u="1"/>
        <s v="Oficina de Control Disciplinario Interno" u="1"/>
        <s v="Oficina de Control Disciplinario Interno / Oficina Jurídica" u="1"/>
        <s v="Oficina Alta Consejería Distrital de Tecnologías de la Información y las Comunicaciones" u="1"/>
        <s v="Subsecretaría de Servicio al Ciudadano" u="1"/>
        <s v="Subdirección de Imprenta Distrital" u="1"/>
        <s v="Dirección Distrital de Desarrollo Institucional" u="1"/>
        <s v="Dirección Administrativa y Financiera" u="1"/>
        <s v="Dirección Distrital de Relaciones Internacionales" u="1"/>
        <s v="Dirección Distrital de Calidad del Servicio" u="1"/>
        <s v="Subsecretaría Distrital de Fortalecimiento Institucional" u="1"/>
        <s v="Dirección de Contratación " u="1"/>
        <s v="Subsecretaría de Servicio a la Ciudadanía" u="1"/>
        <s v="Oficina de Tecnologías de la Información y las Comunicaciones" u="1"/>
        <s v="Oficina Jurídica" u="1"/>
        <s v="Subdirección de Seguimiento a la Gestión de Inspección, Vigilancia y Control - SSGIVC"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2"/>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8.3999999999999991E-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23T00:00:00" maxDate="2023-12-14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 name="Blancos borrar si 54" numFmtId="0">
      <sharedItems containsSemiMixedTypes="0" containsString="0" containsNumber="1" containsInteger="1" minValue="33" maxValue="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s v="Oficina de Control Disciplinario Interno, Oficina Jurídica y Despacho de la Secretaría General"/>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0"/>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Dirección Distrital de Archivo de Bogotá"/>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0"/>
    <s v="Fraude interno"/>
    <s v="Dirección Distrital de Archivo de Bogotá"/>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0"/>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0"/>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4"/>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4"/>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8"/>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0"/>
    <s v="Ejecución y administración de procesos"/>
    <s v="Oficina Jurídica "/>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0"/>
    <s v="Fraude interno"/>
    <s v="Dirección del Sistema Distrital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0"/>
    <s v="Fraude interno"/>
    <s v="Oficina de Alta Consejería Distrital de Tecnologías de Información y Comunicaciones –TIC"/>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x v="0"/>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n v="33"/>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0"/>
    <s v="Ejecución y administración de procesos"/>
    <x v="1"/>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x v="2"/>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0"/>
    <s v="Fraude interno"/>
    <x v="2"/>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0"/>
    <s v="Fraude interno"/>
    <x v="3"/>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0"/>
    <s v="Fraude interno"/>
    <x v="3"/>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x v="4"/>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x v="5"/>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x v="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x v="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x v="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x v="7"/>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x v="7"/>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0"/>
    <s v="Ejecución y administración de procesos"/>
    <x v="8"/>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0"/>
    <s v="Fraude interno"/>
    <x v="9"/>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x v="10"/>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0"/>
    <s v="Fraude interno"/>
    <x v="11"/>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n v="33"/>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x v="12"/>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30">
      <pivotArea type="all" dataOnly="0" outline="0" fieldPosition="0"/>
    </format>
    <format dxfId="129">
      <pivotArea outline="0" collapsedLevelsAreSubtotals="1" fieldPosition="0"/>
    </format>
    <format dxfId="128">
      <pivotArea field="9" type="button" dataOnly="0" labelOnly="1" outline="0" axis="axisRow" fieldPosition="0"/>
    </format>
    <format dxfId="127">
      <pivotArea dataOnly="0" labelOnly="1" fieldPosition="0">
        <references count="1">
          <reference field="9" count="0"/>
        </references>
      </pivotArea>
    </format>
    <format dxfId="126">
      <pivotArea dataOnly="0" labelOnly="1" fieldPosition="0">
        <references count="1">
          <reference field="9" count="0" defaultSubtotal="1"/>
        </references>
      </pivotArea>
    </format>
    <format dxfId="125">
      <pivotArea dataOnly="0" labelOnly="1" grandRow="1" outline="0" fieldPosition="0"/>
    </format>
    <format dxfId="1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 colHeaderCaption="Enfoque del riesgo">
  <location ref="A30:C45"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axis="axisRow" showAll="0">
      <items count="34">
        <item x="3"/>
        <item x="6"/>
        <item x="2"/>
        <item m="1" x="23"/>
        <item m="1" x="25"/>
        <item x="12"/>
        <item m="1" x="20"/>
        <item m="1" x="14"/>
        <item m="1" x="17"/>
        <item m="1" x="19"/>
        <item x="1"/>
        <item m="1" x="30"/>
        <item m="1" x="31"/>
        <item x="5"/>
        <item m="1" x="22"/>
        <item x="4"/>
        <item x="7"/>
        <item m="1" x="29"/>
        <item m="1" x="27"/>
        <item x="0"/>
        <item m="1" x="18"/>
        <item m="1" x="13"/>
        <item m="1" x="28"/>
        <item x="8"/>
        <item m="1" x="21"/>
        <item m="1" x="32"/>
        <item x="9"/>
        <item x="10"/>
        <item m="1" x="26"/>
        <item x="11"/>
        <item m="1" x="15"/>
        <item m="1" x="16"/>
        <item m="1" x="24"/>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14">
    <i>
      <x/>
    </i>
    <i>
      <x v="1"/>
    </i>
    <i>
      <x v="2"/>
    </i>
    <i>
      <x v="5"/>
    </i>
    <i>
      <x v="10"/>
    </i>
    <i>
      <x v="13"/>
    </i>
    <i>
      <x v="15"/>
    </i>
    <i>
      <x v="16"/>
    </i>
    <i>
      <x v="19"/>
    </i>
    <i>
      <x v="23"/>
    </i>
    <i>
      <x v="26"/>
    </i>
    <i>
      <x v="27"/>
    </i>
    <i>
      <x v="29"/>
    </i>
    <i t="grand">
      <x/>
    </i>
  </rowItems>
  <colFields count="1">
    <field x="9"/>
  </colFields>
  <colItems count="2">
    <i>
      <x/>
    </i>
    <i t="grand">
      <x/>
    </i>
  </colItems>
  <dataFields count="1">
    <dataField name="Número de riesgos" fld="8" subtotal="count" baseField="0" baseItem="0"/>
  </dataFields>
  <formats count="61">
    <format dxfId="66">
      <pivotArea type="all" dataOnly="0" outline="0" fieldPosition="0"/>
    </format>
    <format dxfId="65">
      <pivotArea outline="0" collapsedLevelsAreSubtotals="1" fieldPosition="0"/>
    </format>
    <format dxfId="64">
      <pivotArea dataOnly="0" labelOnly="1" grandRow="1" outline="0"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dataOnly="0" labelOnly="1" grandRow="1" outline="0" fieldPosition="0"/>
    </format>
    <format dxfId="59">
      <pivotArea dataOnly="0" labelOnly="1" outline="0" axis="axisValues" fieldPosition="0"/>
    </format>
    <format dxfId="58">
      <pivotArea dataOnly="0" labelOnly="1" outline="0" axis="axisValues" fieldPosition="0"/>
    </format>
    <format dxfId="57">
      <pivotArea outline="0" collapsedLevelsAreSubtotals="1" fieldPosition="0">
        <references count="1">
          <reference field="9" count="1" selected="0">
            <x v="2"/>
          </reference>
        </references>
      </pivotArea>
    </format>
    <format dxfId="56">
      <pivotArea dataOnly="0" labelOnly="1" fieldPosition="0">
        <references count="1">
          <reference field="9" count="1">
            <x v="2"/>
          </reference>
        </references>
      </pivotArea>
    </format>
    <format dxfId="55">
      <pivotArea dataOnly="0" outline="0" fieldPosition="0">
        <references count="1">
          <reference field="9" count="1">
            <x v="1"/>
          </reference>
        </references>
      </pivotArea>
    </format>
    <format dxfId="54">
      <pivotArea type="origin" dataOnly="0" labelOnly="1" outline="0" fieldPosition="0"/>
    </format>
    <format dxfId="53">
      <pivotArea field="9" type="button" dataOnly="0" labelOnly="1" outline="0" axis="axisCol" fieldPosition="0"/>
    </format>
    <format dxfId="52">
      <pivotArea type="topRight" dataOnly="0" labelOnly="1" outline="0" fieldPosition="0"/>
    </format>
    <format dxfId="51">
      <pivotArea dataOnly="0" labelOnly="1" fieldPosition="0">
        <references count="1">
          <reference field="9" count="1">
            <x v="0"/>
          </reference>
        </references>
      </pivotArea>
    </format>
    <format dxfId="50">
      <pivotArea type="origin" dataOnly="0" labelOnly="1" outline="0" fieldPosition="0"/>
    </format>
    <format dxfId="49">
      <pivotArea field="9" type="button" dataOnly="0" labelOnly="1" outline="0" axis="axisCol" fieldPosition="0"/>
    </format>
    <format dxfId="48">
      <pivotArea type="topRight" dataOnly="0" labelOnly="1" outline="0" fieldPosition="0"/>
    </format>
    <format dxfId="47">
      <pivotArea dataOnly="0" labelOnly="1" fieldPosition="0">
        <references count="1">
          <reference field="9" count="0"/>
        </references>
      </pivotArea>
    </format>
    <format dxfId="46">
      <pivotArea dataOnly="0" labelOnly="1" grandCol="1" outline="0" fieldPosition="0"/>
    </format>
    <format dxfId="45">
      <pivotArea type="origin" dataOnly="0" labelOnly="1" outline="0" fieldPosition="0"/>
    </format>
    <format dxfId="44">
      <pivotArea grandRow="1" outline="0" collapsedLevelsAreSubtotals="1" fieldPosition="0"/>
    </format>
    <format dxfId="43">
      <pivotArea dataOnly="0" labelOnly="1" fieldPosition="0">
        <references count="1">
          <reference field="9" count="0"/>
        </references>
      </pivotArea>
    </format>
    <format dxfId="42">
      <pivotArea dataOnly="0" labelOnly="1" grandCol="1" outline="0" fieldPosition="0"/>
    </format>
    <format dxfId="41">
      <pivotArea type="origin" dataOnly="0" labelOnly="1" outline="0" fieldPosition="0"/>
    </format>
    <format dxfId="40">
      <pivotArea field="9" type="button" dataOnly="0" labelOnly="1" outline="0" axis="axisCol" fieldPosition="0"/>
    </format>
    <format dxfId="39">
      <pivotArea type="topRight" dataOnly="0" labelOnly="1" outline="0" fieldPosition="0"/>
    </format>
    <format dxfId="38">
      <pivotArea dataOnly="0" labelOnly="1" fieldPosition="0">
        <references count="1">
          <reference field="9" count="0"/>
        </references>
      </pivotArea>
    </format>
    <format dxfId="37">
      <pivotArea dataOnly="0" labelOnly="1" grandCol="1" outline="0" fieldPosition="0"/>
    </format>
    <format dxfId="36">
      <pivotArea grandRow="1" outline="0" collapsedLevelsAreSubtotals="1" fieldPosition="0"/>
    </format>
    <format dxfId="35">
      <pivotArea dataOnly="0" labelOnly="1" grandRow="1" outline="0" fieldPosition="0"/>
    </format>
    <format dxfId="34">
      <pivotArea type="all" dataOnly="0" outline="0" fieldPosition="0"/>
    </format>
    <format dxfId="33">
      <pivotArea outline="0" collapsedLevelsAreSubtotals="1" fieldPosition="0"/>
    </format>
    <format dxfId="32">
      <pivotArea type="origin" dataOnly="0" labelOnly="1" outline="0" fieldPosition="0"/>
    </format>
    <format dxfId="31">
      <pivotArea field="9" type="button" dataOnly="0" labelOnly="1" outline="0" axis="axisCol" fieldPosition="0"/>
    </format>
    <format dxfId="30">
      <pivotArea type="topRight" dataOnly="0" labelOnly="1" outline="0" fieldPosition="0"/>
    </format>
    <format dxfId="29">
      <pivotArea field="11" type="button" dataOnly="0" labelOnly="1" outline="0" axis="axisRow" fieldPosition="0"/>
    </format>
    <format dxfId="28">
      <pivotArea dataOnly="0" labelOnly="1" fieldPosition="0">
        <references count="1">
          <reference field="11" count="0"/>
        </references>
      </pivotArea>
    </format>
    <format dxfId="27">
      <pivotArea dataOnly="0" labelOnly="1" grandRow="1" outline="0" fieldPosition="0"/>
    </format>
    <format dxfId="26">
      <pivotArea dataOnly="0" labelOnly="1" fieldPosition="0">
        <references count="1">
          <reference field="9" count="0"/>
        </references>
      </pivotArea>
    </format>
    <format dxfId="25">
      <pivotArea dataOnly="0" labelOnly="1" grandCol="1" outline="0" fieldPosition="0"/>
    </format>
    <format dxfId="24">
      <pivotArea collapsedLevelsAreSubtotals="1" fieldPosition="0">
        <references count="1">
          <reference field="11" count="17">
            <x v="1"/>
            <x v="2"/>
            <x v="3"/>
            <x v="4"/>
            <x v="5"/>
            <x v="6"/>
            <x v="7"/>
            <x v="8"/>
            <x v="9"/>
            <x v="10"/>
            <x v="11"/>
            <x v="12"/>
            <x v="13"/>
            <x v="14"/>
            <x v="15"/>
            <x v="16"/>
            <x v="17"/>
          </reference>
        </references>
      </pivotArea>
    </format>
    <format dxfId="23">
      <pivotArea dataOnly="0" labelOnly="1" fieldPosition="0">
        <references count="1">
          <reference field="11" count="17">
            <x v="1"/>
            <x v="2"/>
            <x v="3"/>
            <x v="4"/>
            <x v="5"/>
            <x v="6"/>
            <x v="7"/>
            <x v="8"/>
            <x v="9"/>
            <x v="10"/>
            <x v="11"/>
            <x v="12"/>
            <x v="13"/>
            <x v="14"/>
            <x v="15"/>
            <x v="16"/>
            <x v="17"/>
          </reference>
        </references>
      </pivotArea>
    </format>
    <format dxfId="22">
      <pivotArea grandRow="1" outline="0" collapsedLevelsAreSubtotals="1" fieldPosition="0"/>
    </format>
    <format dxfId="21">
      <pivotArea dataOnly="0" labelOnly="1" grandRow="1" outline="0" fieldPosition="0"/>
    </format>
    <format dxfId="20">
      <pivotArea field="11" type="button" dataOnly="0" labelOnly="1" outline="0" axis="axisRow" fieldPosition="0"/>
    </format>
    <format dxfId="19">
      <pivotArea dataOnly="0" labelOnly="1" fieldPosition="0">
        <references count="1">
          <reference field="9" count="0"/>
        </references>
      </pivotArea>
    </format>
    <format dxfId="18">
      <pivotArea dataOnly="0" labelOnly="1" grandCol="1" outline="0" fieldPosition="0"/>
    </format>
    <format dxfId="17">
      <pivotArea field="9" type="button" dataOnly="0" labelOnly="1" outline="0" axis="axisCol" fieldPosition="0"/>
    </format>
    <format dxfId="16">
      <pivotArea collapsedLevelsAreSubtotals="1" fieldPosition="0">
        <references count="1">
          <reference field="11" count="0"/>
        </references>
      </pivotArea>
    </format>
    <format dxfId="15">
      <pivotArea field="11" type="button" dataOnly="0" labelOnly="1" outline="0" axis="axisRow" fieldPosition="0"/>
    </format>
    <format dxfId="14">
      <pivotArea field="11" type="button" dataOnly="0" labelOnly="1" outline="0" axis="axisRow" fieldPosition="0"/>
    </format>
    <format dxfId="13">
      <pivotArea collapsedLevelsAreSubtotals="1" fieldPosition="0">
        <references count="1">
          <reference field="11" count="0"/>
        </references>
      </pivotArea>
    </format>
    <format dxfId="12">
      <pivotArea dataOnly="0" labelOnly="1" fieldPosition="0">
        <references count="1">
          <reference field="11" count="0"/>
        </references>
      </pivotArea>
    </format>
    <format dxfId="11">
      <pivotArea collapsedLevelsAreSubtotals="1" fieldPosition="0">
        <references count="1">
          <reference field="11" count="15">
            <x v="16"/>
            <x v="18"/>
            <x v="19"/>
            <x v="20"/>
            <x v="21"/>
            <x v="22"/>
            <x v="23"/>
            <x v="24"/>
            <x v="25"/>
            <x v="26"/>
            <x v="27"/>
            <x v="28"/>
            <x v="29"/>
            <x v="30"/>
            <x v="31"/>
          </reference>
        </references>
      </pivotArea>
    </format>
    <format dxfId="10">
      <pivotArea dataOnly="0" labelOnly="1" fieldPosition="0">
        <references count="1">
          <reference field="11" count="15">
            <x v="16"/>
            <x v="18"/>
            <x v="19"/>
            <x v="20"/>
            <x v="21"/>
            <x v="22"/>
            <x v="23"/>
            <x v="24"/>
            <x v="25"/>
            <x v="26"/>
            <x v="27"/>
            <x v="28"/>
            <x v="29"/>
            <x v="30"/>
            <x v="31"/>
          </reference>
        </references>
      </pivotArea>
    </format>
    <format dxfId="9">
      <pivotArea collapsedLevelsAreSubtotals="1" fieldPosition="0">
        <references count="1">
          <reference field="11" count="14">
            <x v="18"/>
            <x v="19"/>
            <x v="20"/>
            <x v="21"/>
            <x v="22"/>
            <x v="23"/>
            <x v="24"/>
            <x v="25"/>
            <x v="26"/>
            <x v="27"/>
            <x v="28"/>
            <x v="29"/>
            <x v="30"/>
            <x v="31"/>
          </reference>
        </references>
      </pivotArea>
    </format>
    <format dxfId="8">
      <pivotArea dataOnly="0" labelOnly="1" fieldPosition="0">
        <references count="1">
          <reference field="11" count="14">
            <x v="18"/>
            <x v="19"/>
            <x v="20"/>
            <x v="21"/>
            <x v="22"/>
            <x v="23"/>
            <x v="24"/>
            <x v="25"/>
            <x v="26"/>
            <x v="27"/>
            <x v="28"/>
            <x v="29"/>
            <x v="30"/>
            <x v="31"/>
          </reference>
        </references>
      </pivotArea>
    </format>
    <format dxfId="7">
      <pivotArea grandCol="1" outline="0" collapsedLevelsAreSubtotals="1" fieldPosition="0"/>
    </format>
    <format dxfId="6">
      <pivotArea dataOnly="0" labelOnly="1" grandCol="1" outline="0" fieldPosition="0"/>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1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2">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5">
    <format dxfId="111">
      <pivotArea type="all" dataOnly="0" outline="0" fieldPosition="0"/>
    </format>
    <format dxfId="110">
      <pivotArea outline="0" collapsedLevelsAreSubtotals="1" fieldPosition="0"/>
    </format>
    <format dxfId="109">
      <pivotArea dataOnly="0" labelOnly="1" grandRow="1" outline="0" fieldPosition="0"/>
    </format>
    <format dxfId="108">
      <pivotArea dataOnly="0" labelOnly="1" outline="0" axis="axisValues" fieldPosition="0"/>
    </format>
    <format dxfId="107">
      <pivotArea type="all" dataOnly="0" outline="0" fieldPosition="0"/>
    </format>
    <format dxfId="106">
      <pivotArea outline="0" collapsedLevelsAreSubtotals="1" fieldPosition="0"/>
    </format>
    <format dxfId="105">
      <pivotArea dataOnly="0" labelOnly="1" grandRow="1" outline="0" fieldPosition="0"/>
    </format>
    <format dxfId="104">
      <pivotArea dataOnly="0" labelOnly="1" outline="0" axis="axisValues" fieldPosition="0"/>
    </format>
    <format dxfId="103">
      <pivotArea collapsedLevelsAreSubtotals="1" fieldPosition="0">
        <references count="1">
          <reference field="0" count="21">
            <x v="1"/>
            <x v="2"/>
            <x v="3"/>
            <x v="4"/>
            <x v="5"/>
            <x v="6"/>
            <x v="7"/>
            <x v="8"/>
            <x v="9"/>
            <x v="10"/>
            <x v="11"/>
            <x v="12"/>
            <x v="13"/>
            <x v="14"/>
            <x v="15"/>
            <x v="16"/>
            <x v="17"/>
            <x v="18"/>
            <x v="19"/>
            <x v="20"/>
            <x v="21"/>
          </reference>
        </references>
      </pivotArea>
    </format>
    <format dxfId="102">
      <pivotArea outline="0" collapsedLevelsAreSubtotals="1" fieldPosition="0"/>
    </format>
    <format dxfId="101">
      <pivotArea dataOnly="0" labelOnly="1" outline="0" axis="axisValues" fieldPosition="0"/>
    </format>
    <format dxfId="100">
      <pivotArea field="0" type="button" dataOnly="0" labelOnly="1" outline="0" axis="axisRow" fieldPosition="0"/>
    </format>
    <format dxfId="99">
      <pivotArea dataOnly="0" labelOnly="1" outline="0" axis="axisValues" fieldPosition="0"/>
    </format>
    <format dxfId="98">
      <pivotArea dataOnly="0" labelOnly="1" outline="0" axis="axisValues" fieldPosition="0"/>
    </format>
    <format dxfId="97">
      <pivotArea field="0" type="button" dataOnly="0" labelOnly="1" outline="0" axis="axisRow" fieldPosition="0"/>
    </format>
    <format dxfId="96">
      <pivotArea outline="0" collapsedLevelsAreSubtotals="1" fieldPosition="0"/>
    </format>
    <format dxfId="95">
      <pivotArea type="all" dataOnly="0" outline="0" fieldPosition="0"/>
    </format>
    <format dxfId="94">
      <pivotArea outline="0" collapsedLevelsAreSubtotals="1" fieldPosition="0"/>
    </format>
    <format dxfId="93">
      <pivotArea field="0" type="button" dataOnly="0" labelOnly="1" outline="0" axis="axisRow" fieldPosition="0"/>
    </format>
    <format dxfId="92">
      <pivotArea dataOnly="0" labelOnly="1" fieldPosition="0">
        <references count="1">
          <reference field="0" count="0"/>
        </references>
      </pivotArea>
    </format>
    <format dxfId="91">
      <pivotArea dataOnly="0" labelOnly="1" grandRow="1" outline="0" fieldPosition="0"/>
    </format>
    <format dxfId="90">
      <pivotArea dataOnly="0" labelOnly="1" outline="0" axis="axisValues" fieldPosition="0"/>
    </format>
    <format dxfId="89">
      <pivotArea collapsedLevelsAreSubtotals="1" fieldPosition="0">
        <references count="1">
          <reference field="0" count="0"/>
        </references>
      </pivotArea>
    </format>
    <format dxfId="88">
      <pivotArea dataOnly="0" labelOnly="1" fieldPosition="0">
        <references count="1">
          <reference field="0" count="0"/>
        </references>
      </pivotArea>
    </format>
    <format dxfId="87">
      <pivotArea collapsedLevelsAreSubtotals="1" fieldPosition="0">
        <references count="1">
          <reference field="0" count="15">
            <x v="6"/>
            <x v="7"/>
            <x v="10"/>
            <x v="13"/>
            <x v="19"/>
            <x v="20"/>
            <x v="23"/>
            <x v="24"/>
            <x v="25"/>
            <x v="26"/>
            <x v="27"/>
            <x v="28"/>
            <x v="29"/>
            <x v="30"/>
            <x v="31"/>
          </reference>
        </references>
      </pivotArea>
    </format>
    <format dxfId="86">
      <pivotArea dataOnly="0" labelOnly="1" fieldPosition="0">
        <references count="1">
          <reference field="0" count="15">
            <x v="6"/>
            <x v="7"/>
            <x v="10"/>
            <x v="13"/>
            <x v="19"/>
            <x v="20"/>
            <x v="23"/>
            <x v="24"/>
            <x v="25"/>
            <x v="26"/>
            <x v="27"/>
            <x v="28"/>
            <x v="29"/>
            <x v="30"/>
            <x v="31"/>
          </reference>
        </references>
      </pivotArea>
    </format>
    <format dxfId="85">
      <pivotArea dataOnly="0" outline="0" fieldPosition="0">
        <references count="1">
          <reference field="9" count="2">
            <x v="1"/>
            <x v="2"/>
          </reference>
        </references>
      </pivotArea>
    </format>
    <format dxfId="84">
      <pivotArea field="0" type="button" dataOnly="0" labelOnly="1" outline="0" axis="axisRow" fieldPosition="0"/>
    </format>
    <format dxfId="83">
      <pivotArea dataOnly="0" labelOnly="1" fieldPosition="0">
        <references count="1">
          <reference field="9" count="0"/>
        </references>
      </pivotArea>
    </format>
    <format dxfId="82">
      <pivotArea dataOnly="0" labelOnly="1" grandCol="1" outline="0" fieldPosition="0"/>
    </format>
    <format dxfId="81">
      <pivotArea type="origin" dataOnly="0" labelOnly="1" outline="0" fieldPosition="0"/>
    </format>
    <format dxfId="80">
      <pivotArea field="9" type="button" dataOnly="0" labelOnly="1" outline="0" axis="axisCol" fieldPosition="0"/>
    </format>
    <format dxfId="79">
      <pivotArea type="topRight" dataOnly="0" labelOnly="1" outline="0" fieldPosition="0"/>
    </format>
    <format dxfId="78">
      <pivotArea field="0" type="button" dataOnly="0" labelOnly="1" outline="0" axis="axisRow" fieldPosition="0"/>
    </format>
    <format dxfId="77">
      <pivotArea dataOnly="0" labelOnly="1" fieldPosition="0">
        <references count="1">
          <reference field="9" count="0"/>
        </references>
      </pivotArea>
    </format>
    <format dxfId="76">
      <pivotArea dataOnly="0" labelOnly="1" grandCol="1" outline="0" fieldPosition="0"/>
    </format>
    <format dxfId="75">
      <pivotArea field="0" type="button" dataOnly="0" labelOnly="1" outline="0" axis="axisRow" fieldPosition="0"/>
    </format>
    <format dxfId="74">
      <pivotArea dataOnly="0" labelOnly="1" fieldPosition="0">
        <references count="1">
          <reference field="9" count="0"/>
        </references>
      </pivotArea>
    </format>
    <format dxfId="73">
      <pivotArea dataOnly="0" labelOnly="1" grandCol="1" outline="0" fieldPosition="0"/>
    </format>
    <format dxfId="72">
      <pivotArea type="origin" dataOnly="0" labelOnly="1" outline="0" fieldPosition="0"/>
    </format>
    <format dxfId="71">
      <pivotArea grandRow="1" outline="0" collapsedLevelsAreSubtotals="1" fieldPosition="0"/>
    </format>
    <format dxfId="70">
      <pivotArea field="0" type="button" dataOnly="0" labelOnly="1" outline="0" axis="axisRow" fieldPosition="0"/>
    </format>
    <format dxfId="69">
      <pivotArea dataOnly="0" labelOnly="1" fieldPosition="0">
        <references count="1">
          <reference field="9" count="0"/>
        </references>
      </pivotArea>
    </format>
    <format dxfId="68">
      <pivotArea dataOnly="0" labelOnly="1" grandCol="1" outline="0" fieldPosition="0"/>
    </format>
    <format dxfId="67">
      <pivotArea dataOnly="0" grandCol="1" outline="0" fieldPosition="0"/>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25"/>
  <sheetViews>
    <sheetView topLeftCell="V18" workbookViewId="0">
      <selection activeCell="AJ24" sqref="AJ24"/>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3" t="s">
        <v>262</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314</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317</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313</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318</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312</v>
      </c>
      <c r="U4" s="26" t="s">
        <v>101</v>
      </c>
      <c r="W4" s="35" t="s">
        <v>102</v>
      </c>
      <c r="Z4" s="18" t="s">
        <v>103</v>
      </c>
      <c r="AA4" s="28" t="s">
        <v>104</v>
      </c>
      <c r="AB4" s="18" t="s">
        <v>105</v>
      </c>
      <c r="AC4" s="18" t="s">
        <v>106</v>
      </c>
      <c r="AD4" s="36" t="s">
        <v>107</v>
      </c>
      <c r="AF4" s="22" t="s">
        <v>85</v>
      </c>
      <c r="AG4" s="17" t="s">
        <v>108</v>
      </c>
      <c r="AH4" s="47" t="e">
        <f>IF(#REF!="","",#REF!)</f>
        <v>#REF!</v>
      </c>
      <c r="AI4" s="56">
        <v>43830</v>
      </c>
      <c r="AJ4" s="47" t="s">
        <v>319</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309</v>
      </c>
      <c r="U5" s="26" t="s">
        <v>121</v>
      </c>
      <c r="W5" s="38" t="s">
        <v>122</v>
      </c>
      <c r="AB5" s="18" t="s">
        <v>123</v>
      </c>
      <c r="AC5" s="18" t="s">
        <v>124</v>
      </c>
      <c r="AG5" s="17" t="s">
        <v>125</v>
      </c>
      <c r="AH5" s="47" t="e">
        <f>IF(#REF!="","",#REF!)</f>
        <v>#REF!</v>
      </c>
      <c r="AI5" s="57"/>
      <c r="AJ5" s="47" t="s">
        <v>256</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311</v>
      </c>
      <c r="U6" s="26" t="s">
        <v>310</v>
      </c>
      <c r="AG6" s="17" t="s">
        <v>385</v>
      </c>
      <c r="AH6" s="47" t="e">
        <f>IF(#REF!="","",#REF!)</f>
        <v>#REF!</v>
      </c>
      <c r="AI6" s="58"/>
      <c r="AJ6" s="47" t="s">
        <v>386</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244</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250</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320</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321</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249</v>
      </c>
    </row>
    <row r="12" spans="1:36" ht="90" x14ac:dyDescent="0.25">
      <c r="B12" s="37"/>
      <c r="C12" s="17" t="s">
        <v>179</v>
      </c>
      <c r="D12" s="18" t="s">
        <v>180</v>
      </c>
      <c r="E12" s="18" t="s">
        <v>111</v>
      </c>
      <c r="L12" s="18" t="s">
        <v>181</v>
      </c>
      <c r="AG12" s="17" t="s">
        <v>168</v>
      </c>
      <c r="AH12" s="47" t="e">
        <f>IF(#REF!="","",#REF!)</f>
        <v>#REF!</v>
      </c>
      <c r="AJ12" s="47" t="s">
        <v>320</v>
      </c>
    </row>
    <row r="13" spans="1:36" ht="90" x14ac:dyDescent="0.25">
      <c r="B13" s="37"/>
      <c r="C13" s="17" t="s">
        <v>182</v>
      </c>
      <c r="D13" s="18" t="s">
        <v>183</v>
      </c>
      <c r="E13" s="18" t="s">
        <v>38</v>
      </c>
      <c r="L13" s="18" t="s">
        <v>184</v>
      </c>
      <c r="AG13" s="17" t="s">
        <v>185</v>
      </c>
      <c r="AH13" s="47" t="e">
        <f>IF(#REF!="","",#REF!)</f>
        <v>#REF!</v>
      </c>
      <c r="AJ13" s="47" t="s">
        <v>251</v>
      </c>
    </row>
    <row r="14" spans="1:36" ht="75" x14ac:dyDescent="0.25">
      <c r="B14" s="37"/>
      <c r="C14" s="17" t="s">
        <v>186</v>
      </c>
      <c r="D14" s="18" t="s">
        <v>187</v>
      </c>
      <c r="E14" s="18" t="s">
        <v>38</v>
      </c>
      <c r="L14" s="18" t="s">
        <v>188</v>
      </c>
      <c r="AG14" s="17" t="s">
        <v>189</v>
      </c>
      <c r="AH14" s="47" t="e">
        <f>IF(#REF!="","",#REF!)</f>
        <v>#REF!</v>
      </c>
      <c r="AJ14" s="1" t="s">
        <v>322</v>
      </c>
    </row>
    <row r="15" spans="1:36" ht="60" x14ac:dyDescent="0.25">
      <c r="B15" s="37"/>
      <c r="C15" s="17" t="s">
        <v>190</v>
      </c>
      <c r="D15" s="18" t="s">
        <v>191</v>
      </c>
      <c r="E15" s="18" t="s">
        <v>111</v>
      </c>
      <c r="L15" s="18" t="s">
        <v>192</v>
      </c>
      <c r="AG15" s="17" t="s">
        <v>193</v>
      </c>
      <c r="AH15" s="47" t="e">
        <f>IF(#REF!="","",#REF!)</f>
        <v>#REF!</v>
      </c>
      <c r="AJ15" s="47" t="s">
        <v>258</v>
      </c>
    </row>
    <row r="16" spans="1:36" ht="90" x14ac:dyDescent="0.25">
      <c r="B16" s="37"/>
      <c r="C16" s="17" t="s">
        <v>194</v>
      </c>
      <c r="D16" s="18" t="s">
        <v>195</v>
      </c>
      <c r="E16" s="18" t="s">
        <v>111</v>
      </c>
      <c r="L16" s="18" t="s">
        <v>196</v>
      </c>
      <c r="AG16" s="17" t="s">
        <v>197</v>
      </c>
      <c r="AH16" s="47" t="e">
        <f>IF(#REF!="","",#REF!)</f>
        <v>#REF!</v>
      </c>
      <c r="AJ16" s="47" t="s">
        <v>246</v>
      </c>
    </row>
    <row r="17" spans="2:36" ht="75" x14ac:dyDescent="0.25">
      <c r="B17" s="37"/>
      <c r="C17" s="17" t="s">
        <v>198</v>
      </c>
      <c r="D17" s="18" t="s">
        <v>199</v>
      </c>
      <c r="E17" s="18" t="s">
        <v>111</v>
      </c>
      <c r="L17" s="18" t="s">
        <v>200</v>
      </c>
      <c r="AG17" s="17" t="s">
        <v>201</v>
      </c>
      <c r="AJ17" s="47" t="s">
        <v>258</v>
      </c>
    </row>
    <row r="18" spans="2:36" ht="75" x14ac:dyDescent="0.25">
      <c r="B18" s="37"/>
      <c r="C18" s="17" t="s">
        <v>202</v>
      </c>
      <c r="D18" s="18" t="s">
        <v>203</v>
      </c>
      <c r="E18" s="18" t="s">
        <v>38</v>
      </c>
      <c r="L18" s="40" t="s">
        <v>204</v>
      </c>
      <c r="AG18" s="17" t="s">
        <v>205</v>
      </c>
      <c r="AJ18" s="47" t="s">
        <v>248</v>
      </c>
    </row>
    <row r="19" spans="2:36" ht="75" x14ac:dyDescent="0.25">
      <c r="B19" s="37"/>
      <c r="C19" s="17" t="s">
        <v>206</v>
      </c>
      <c r="D19" s="18" t="s">
        <v>207</v>
      </c>
      <c r="E19" s="18" t="s">
        <v>111</v>
      </c>
      <c r="L19" s="40" t="s">
        <v>208</v>
      </c>
      <c r="AG19" s="17" t="s">
        <v>193</v>
      </c>
      <c r="AJ19" s="47" t="s">
        <v>258</v>
      </c>
    </row>
    <row r="20" spans="2:36" ht="150" x14ac:dyDescent="0.25">
      <c r="B20" s="37"/>
      <c r="C20" s="17" t="s">
        <v>209</v>
      </c>
      <c r="D20" s="18" t="s">
        <v>210</v>
      </c>
      <c r="E20" s="18" t="s">
        <v>90</v>
      </c>
      <c r="AG20" s="17" t="s">
        <v>211</v>
      </c>
      <c r="AJ20" s="47" t="s">
        <v>246</v>
      </c>
    </row>
    <row r="21" spans="2:36" ht="45" x14ac:dyDescent="0.25">
      <c r="B21" s="37"/>
      <c r="C21" s="17" t="s">
        <v>212</v>
      </c>
      <c r="D21" s="18" t="s">
        <v>213</v>
      </c>
      <c r="E21" s="18" t="s">
        <v>111</v>
      </c>
      <c r="AG21" s="17" t="s">
        <v>214</v>
      </c>
      <c r="AJ21" s="47" t="s">
        <v>257</v>
      </c>
    </row>
    <row r="22" spans="2:36" ht="60" x14ac:dyDescent="0.25">
      <c r="B22" s="37"/>
      <c r="C22" s="17" t="s">
        <v>215</v>
      </c>
      <c r="D22" s="18" t="s">
        <v>216</v>
      </c>
      <c r="E22" s="18" t="s">
        <v>111</v>
      </c>
      <c r="AG22" s="17" t="s">
        <v>383</v>
      </c>
      <c r="AJ22" s="47" t="s">
        <v>384</v>
      </c>
    </row>
    <row r="23" spans="2:36" ht="51" x14ac:dyDescent="0.25">
      <c r="B23" s="37"/>
      <c r="C23" s="17" t="s">
        <v>217</v>
      </c>
      <c r="D23" s="18" t="s">
        <v>218</v>
      </c>
      <c r="E23" s="18" t="s">
        <v>38</v>
      </c>
      <c r="AG23" s="17" t="s">
        <v>219</v>
      </c>
      <c r="AJ23" s="47" t="s">
        <v>252</v>
      </c>
    </row>
    <row r="24" spans="2:36" ht="60" x14ac:dyDescent="0.25">
      <c r="C24" s="17" t="s">
        <v>279</v>
      </c>
      <c r="AJ24" s="47" t="s">
        <v>281</v>
      </c>
    </row>
    <row r="25" spans="2:36" ht="30" x14ac:dyDescent="0.25">
      <c r="C25" s="17" t="s">
        <v>280</v>
      </c>
      <c r="AJ25" s="47" t="s">
        <v>244</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5" t="s">
        <v>262</v>
      </c>
    </row>
    <row r="2" spans="1:2" x14ac:dyDescent="0.25">
      <c r="A2" s="17" t="s">
        <v>140</v>
      </c>
      <c r="B2" t="s">
        <v>244</v>
      </c>
    </row>
    <row r="3" spans="1:2" x14ac:dyDescent="0.25">
      <c r="A3" s="17" t="s">
        <v>88</v>
      </c>
      <c r="B3" t="s">
        <v>245</v>
      </c>
    </row>
    <row r="4" spans="1:2" x14ac:dyDescent="0.25">
      <c r="A4" s="17" t="s">
        <v>209</v>
      </c>
      <c r="B4" t="s">
        <v>246</v>
      </c>
    </row>
    <row r="5" spans="1:2" x14ac:dyDescent="0.25">
      <c r="A5" s="17" t="s">
        <v>194</v>
      </c>
      <c r="B5" t="s">
        <v>246</v>
      </c>
    </row>
    <row r="6" spans="1:2" x14ac:dyDescent="0.25">
      <c r="A6" s="17" t="s">
        <v>162</v>
      </c>
      <c r="B6" t="s">
        <v>247</v>
      </c>
    </row>
    <row r="7" spans="1:2" ht="25.5" x14ac:dyDescent="0.25">
      <c r="A7" s="17" t="s">
        <v>179</v>
      </c>
      <c r="B7" t="s">
        <v>247</v>
      </c>
    </row>
    <row r="8" spans="1:2" x14ac:dyDescent="0.25">
      <c r="A8" s="17" t="s">
        <v>202</v>
      </c>
      <c r="B8" t="s">
        <v>248</v>
      </c>
    </row>
    <row r="9" spans="1:2" x14ac:dyDescent="0.25">
      <c r="A9" s="17" t="s">
        <v>175</v>
      </c>
      <c r="B9" t="s">
        <v>249</v>
      </c>
    </row>
    <row r="10" spans="1:2" x14ac:dyDescent="0.25">
      <c r="A10" s="17" t="s">
        <v>152</v>
      </c>
      <c r="B10" t="s">
        <v>250</v>
      </c>
    </row>
    <row r="11" spans="1:2" ht="25.5" x14ac:dyDescent="0.25">
      <c r="A11" s="17" t="s">
        <v>182</v>
      </c>
      <c r="B11" t="s">
        <v>251</v>
      </c>
    </row>
    <row r="12" spans="1:2" x14ac:dyDescent="0.25">
      <c r="A12" s="17" t="s">
        <v>217</v>
      </c>
      <c r="B12" t="s">
        <v>252</v>
      </c>
    </row>
    <row r="13" spans="1:2" x14ac:dyDescent="0.25">
      <c r="A13" s="17" t="s">
        <v>36</v>
      </c>
      <c r="B13" t="s">
        <v>253</v>
      </c>
    </row>
    <row r="14" spans="1:2" ht="38.25" x14ac:dyDescent="0.25">
      <c r="A14" s="17" t="s">
        <v>64</v>
      </c>
      <c r="B14" t="s">
        <v>254</v>
      </c>
    </row>
    <row r="15" spans="1:2" x14ac:dyDescent="0.25">
      <c r="A15" s="17" t="s">
        <v>186</v>
      </c>
      <c r="B15" t="s">
        <v>255</v>
      </c>
    </row>
    <row r="16" spans="1:2" x14ac:dyDescent="0.25">
      <c r="A16" s="17" t="s">
        <v>109</v>
      </c>
      <c r="B16" t="s">
        <v>256</v>
      </c>
    </row>
    <row r="17" spans="1:2" x14ac:dyDescent="0.25">
      <c r="A17" s="17" t="s">
        <v>212</v>
      </c>
      <c r="B17" t="s">
        <v>257</v>
      </c>
    </row>
    <row r="18" spans="1:2" x14ac:dyDescent="0.25">
      <c r="A18" s="17" t="s">
        <v>190</v>
      </c>
      <c r="B18" t="s">
        <v>258</v>
      </c>
    </row>
    <row r="19" spans="1:2" x14ac:dyDescent="0.25">
      <c r="A19" s="17" t="s">
        <v>206</v>
      </c>
      <c r="B19" t="s">
        <v>258</v>
      </c>
    </row>
    <row r="20" spans="1:2" x14ac:dyDescent="0.25">
      <c r="A20" s="17" t="s">
        <v>198</v>
      </c>
      <c r="B20" t="s">
        <v>258</v>
      </c>
    </row>
    <row r="21" spans="1:2" x14ac:dyDescent="0.25">
      <c r="A21" s="17" t="s">
        <v>215</v>
      </c>
      <c r="B21" t="s">
        <v>259</v>
      </c>
    </row>
    <row r="22" spans="1:2" x14ac:dyDescent="0.25">
      <c r="A22" s="17" t="s">
        <v>169</v>
      </c>
      <c r="B22" t="s">
        <v>260</v>
      </c>
    </row>
    <row r="23" spans="1:2" x14ac:dyDescent="0.25">
      <c r="A23" s="17" t="s">
        <v>126</v>
      </c>
      <c r="B23" t="s">
        <v>261</v>
      </c>
    </row>
    <row r="24" spans="1:2" x14ac:dyDescent="0.25">
      <c r="A24" s="17" t="s">
        <v>279</v>
      </c>
      <c r="B24" t="s">
        <v>281</v>
      </c>
    </row>
    <row r="25" spans="1:2" ht="25.5" x14ac:dyDescent="0.25">
      <c r="A25" s="17" t="s">
        <v>280</v>
      </c>
      <c r="B25" t="s">
        <v>244</v>
      </c>
    </row>
  </sheetData>
  <autoFilter ref="B1:G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8" customWidth="1"/>
    <col min="2" max="2" width="56.5703125" style="68" bestFit="1" customWidth="1"/>
    <col min="3" max="3" width="16.7109375" style="68" bestFit="1" customWidth="1"/>
    <col min="4" max="4" width="23.140625" style="68" bestFit="1" customWidth="1"/>
    <col min="5" max="16384" width="11.42578125" style="68"/>
  </cols>
  <sheetData>
    <row r="3" spans="1:3" x14ac:dyDescent="0.25">
      <c r="A3" s="93" t="s">
        <v>242</v>
      </c>
      <c r="B3"/>
      <c r="C3"/>
    </row>
    <row r="4" spans="1:3" x14ac:dyDescent="0.25">
      <c r="A4" s="68" t="s">
        <v>63</v>
      </c>
      <c r="B4"/>
      <c r="C4"/>
    </row>
    <row r="5" spans="1:3" x14ac:dyDescent="0.25">
      <c r="A5" s="68" t="s">
        <v>243</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EU36"/>
  <sheetViews>
    <sheetView showGridLines="0" tabSelected="1" view="pageBreakPreview" zoomScale="85" zoomScaleNormal="60" zoomScaleSheetLayoutView="85" workbookViewId="0">
      <selection sqref="A1:AE1"/>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215" t="s">
        <v>323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123"/>
      <c r="AG1" s="124"/>
      <c r="AH1" s="123"/>
      <c r="AI1" s="123"/>
      <c r="AJ1" s="123"/>
      <c r="AK1" s="123"/>
      <c r="AL1" s="123"/>
      <c r="AM1" s="123"/>
      <c r="AN1" s="123"/>
      <c r="AO1" s="123"/>
      <c r="AP1" s="125"/>
      <c r="EP1" s="171">
        <v>45108</v>
      </c>
      <c r="EQ1" s="171">
        <v>45199</v>
      </c>
      <c r="ER1" s="176"/>
      <c r="ES1" s="175"/>
      <c r="ET1" s="175"/>
    </row>
    <row r="2" spans="1:151" ht="9.75" customHeight="1" x14ac:dyDescent="0.2">
      <c r="A2" s="241" t="s">
        <v>241</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100"/>
      <c r="AG2" s="101"/>
      <c r="AP2" s="126"/>
      <c r="EP2" s="201" t="s">
        <v>549</v>
      </c>
      <c r="EQ2" s="201" t="s">
        <v>550</v>
      </c>
      <c r="ES2" s="202"/>
    </row>
    <row r="3" spans="1:151" ht="9.75" customHeight="1" x14ac:dyDescent="0.2">
      <c r="A3" s="241"/>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100"/>
      <c r="AG3" s="101"/>
      <c r="AP3" s="126"/>
      <c r="EP3" s="201"/>
      <c r="EQ3" s="201"/>
      <c r="ES3" s="202"/>
    </row>
    <row r="4" spans="1:151" ht="9.75" customHeight="1" x14ac:dyDescent="0.2">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100"/>
      <c r="AG4" s="101"/>
      <c r="AP4" s="126"/>
      <c r="EP4" s="201"/>
      <c r="EQ4" s="201"/>
      <c r="ES4" s="202"/>
    </row>
    <row r="5" spans="1:151" ht="5.25" customHeight="1" thickBot="1" x14ac:dyDescent="0.25">
      <c r="A5" s="243"/>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3"/>
      <c r="AG5" s="102"/>
      <c r="AP5" s="126"/>
    </row>
    <row r="6" spans="1:151" ht="51" customHeight="1" x14ac:dyDescent="0.2">
      <c r="A6" s="127" t="s">
        <v>229</v>
      </c>
      <c r="B6" s="110">
        <v>45320</v>
      </c>
      <c r="C6" s="3"/>
      <c r="D6" s="258"/>
      <c r="E6" s="258"/>
      <c r="F6" s="258"/>
      <c r="G6" s="195"/>
      <c r="H6" s="195"/>
      <c r="I6" s="195"/>
      <c r="J6" s="195"/>
      <c r="K6" s="195"/>
      <c r="L6" s="195"/>
      <c r="M6" s="128"/>
      <c r="N6" s="128"/>
      <c r="O6" s="128"/>
      <c r="P6" s="128"/>
      <c r="Q6" s="128"/>
      <c r="R6" s="128"/>
      <c r="S6" s="128"/>
      <c r="T6" s="128"/>
      <c r="U6" s="245" t="s">
        <v>777</v>
      </c>
      <c r="V6" s="246"/>
      <c r="W6" s="246"/>
      <c r="X6" s="246"/>
      <c r="Y6" s="246"/>
      <c r="Z6" s="246"/>
      <c r="AA6" s="246"/>
      <c r="AB6" s="246"/>
      <c r="AC6" s="246"/>
      <c r="AD6" s="246"/>
      <c r="AE6" s="246"/>
      <c r="AF6" s="247"/>
      <c r="AG6" s="50"/>
      <c r="AP6" s="126"/>
    </row>
    <row r="7" spans="1:151" ht="4.5" customHeight="1" thickBot="1" x14ac:dyDescent="0.25">
      <c r="A7" s="3"/>
      <c r="U7" s="248"/>
      <c r="V7" s="249"/>
      <c r="W7" s="249"/>
      <c r="X7" s="249"/>
      <c r="Y7" s="249"/>
      <c r="Z7" s="249"/>
      <c r="AA7" s="249"/>
      <c r="AB7" s="249"/>
      <c r="AC7" s="249"/>
      <c r="AD7" s="249"/>
      <c r="AE7" s="249"/>
      <c r="AF7" s="250"/>
      <c r="AG7" s="44"/>
      <c r="AP7" s="126"/>
    </row>
    <row r="8" spans="1:151" ht="5.25" customHeight="1" thickBot="1" x14ac:dyDescent="0.25">
      <c r="A8" s="129"/>
      <c r="AG8" s="44"/>
      <c r="AP8" s="126"/>
    </row>
    <row r="9" spans="1:151" ht="18" customHeight="1" x14ac:dyDescent="0.2">
      <c r="A9" s="130"/>
      <c r="B9" s="111"/>
      <c r="C9" s="130"/>
      <c r="D9" s="130"/>
      <c r="E9" s="111"/>
      <c r="F9" s="54"/>
      <c r="G9" s="114"/>
      <c r="H9" s="114"/>
      <c r="I9" s="114"/>
      <c r="J9" s="115"/>
      <c r="K9" s="54"/>
      <c r="L9" s="115"/>
      <c r="M9" s="217" t="s">
        <v>230</v>
      </c>
      <c r="N9" s="218"/>
      <c r="O9" s="219"/>
      <c r="P9" s="223" t="s">
        <v>231</v>
      </c>
      <c r="Q9" s="224"/>
      <c r="R9" s="224"/>
      <c r="S9" s="224"/>
      <c r="T9" s="225"/>
      <c r="U9" s="229"/>
      <c r="V9" s="229"/>
      <c r="W9" s="230" t="s">
        <v>232</v>
      </c>
      <c r="X9" s="230"/>
      <c r="Y9" s="230"/>
      <c r="Z9" s="231"/>
      <c r="AA9" s="235" t="s">
        <v>233</v>
      </c>
      <c r="AB9" s="236"/>
      <c r="AC9" s="236"/>
      <c r="AD9" s="236"/>
      <c r="AE9" s="236"/>
      <c r="AF9" s="237"/>
      <c r="AG9" s="203" t="s">
        <v>228</v>
      </c>
      <c r="AH9" s="204"/>
      <c r="AI9" s="204"/>
      <c r="AJ9" s="204"/>
      <c r="AK9" s="204"/>
      <c r="AL9" s="204"/>
      <c r="AM9" s="204"/>
      <c r="AN9" s="204"/>
      <c r="AO9" s="204"/>
      <c r="AP9" s="204"/>
      <c r="AQ9" s="205" t="s">
        <v>226</v>
      </c>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6"/>
    </row>
    <row r="10" spans="1:151" ht="21.95" customHeight="1" x14ac:dyDescent="0.2">
      <c r="A10" s="131"/>
      <c r="B10" s="112"/>
      <c r="C10" s="131"/>
      <c r="D10" s="131"/>
      <c r="E10" s="112"/>
      <c r="F10" s="118"/>
      <c r="G10" s="116"/>
      <c r="H10" s="116"/>
      <c r="I10" s="116"/>
      <c r="J10" s="117"/>
      <c r="K10" s="118"/>
      <c r="L10" s="117"/>
      <c r="M10" s="220"/>
      <c r="N10" s="221"/>
      <c r="O10" s="222"/>
      <c r="P10" s="226"/>
      <c r="Q10" s="227"/>
      <c r="R10" s="227"/>
      <c r="S10" s="227"/>
      <c r="T10" s="228"/>
      <c r="U10" s="119"/>
      <c r="V10" s="120"/>
      <c r="W10" s="232"/>
      <c r="X10" s="233"/>
      <c r="Y10" s="233"/>
      <c r="Z10" s="234"/>
      <c r="AA10" s="238"/>
      <c r="AB10" s="239"/>
      <c r="AC10" s="239"/>
      <c r="AD10" s="239"/>
      <c r="AE10" s="239"/>
      <c r="AF10" s="240"/>
      <c r="AG10" s="55"/>
      <c r="AH10" s="209" t="s">
        <v>536</v>
      </c>
      <c r="AI10" s="210"/>
      <c r="AJ10" s="210"/>
      <c r="AK10" s="210"/>
      <c r="AL10" s="210"/>
      <c r="AM10" s="211"/>
      <c r="AN10" s="212" t="s">
        <v>234</v>
      </c>
      <c r="AO10" s="213"/>
      <c r="AP10" s="214"/>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8"/>
      <c r="CD10" s="196" t="s">
        <v>449</v>
      </c>
      <c r="CE10" s="196"/>
      <c r="CF10" s="151" t="s">
        <v>446</v>
      </c>
      <c r="CG10" s="196" t="s">
        <v>450</v>
      </c>
      <c r="CH10" s="196"/>
      <c r="CI10" s="196" t="s">
        <v>451</v>
      </c>
      <c r="CJ10" s="196"/>
      <c r="CK10" s="196"/>
      <c r="CL10" s="196" t="s">
        <v>455</v>
      </c>
      <c r="CM10" s="196"/>
      <c r="CN10" s="196" t="s">
        <v>460</v>
      </c>
      <c r="CO10" s="196"/>
      <c r="CP10" s="196" t="s">
        <v>461</v>
      </c>
      <c r="CQ10" s="196"/>
      <c r="CR10" s="196" t="s">
        <v>463</v>
      </c>
      <c r="CS10" s="196"/>
      <c r="CT10" s="196" t="s">
        <v>507</v>
      </c>
      <c r="CU10" s="196"/>
      <c r="CV10" s="196" t="s">
        <v>505</v>
      </c>
      <c r="CW10" s="196"/>
      <c r="CX10" s="151" t="s">
        <v>508</v>
      </c>
      <c r="DK10" s="196" t="s">
        <v>513</v>
      </c>
      <c r="DL10" s="196"/>
      <c r="DM10" s="196"/>
      <c r="DN10" s="196"/>
      <c r="DO10" s="196"/>
      <c r="DP10" s="196"/>
      <c r="DQ10" s="196"/>
      <c r="DR10" s="196"/>
      <c r="EP10" s="174"/>
      <c r="EQ10" s="174" t="s">
        <v>547</v>
      </c>
      <c r="ER10" s="174"/>
      <c r="ES10" s="174"/>
      <c r="ET10" s="174"/>
      <c r="EU10" s="174"/>
    </row>
    <row r="11" spans="1:151" ht="132" customHeight="1" x14ac:dyDescent="0.2">
      <c r="A11" s="132" t="s">
        <v>282</v>
      </c>
      <c r="B11" s="113" t="s">
        <v>285</v>
      </c>
      <c r="C11" s="132" t="s">
        <v>286</v>
      </c>
      <c r="D11" s="132" t="s">
        <v>287</v>
      </c>
      <c r="E11" s="113" t="s">
        <v>288</v>
      </c>
      <c r="F11" s="104" t="s">
        <v>298</v>
      </c>
      <c r="G11" s="150" t="s">
        <v>533</v>
      </c>
      <c r="H11" s="150" t="s">
        <v>534</v>
      </c>
      <c r="I11" s="121" t="s">
        <v>289</v>
      </c>
      <c r="J11" s="104" t="s">
        <v>220</v>
      </c>
      <c r="K11" s="104" t="s">
        <v>299</v>
      </c>
      <c r="L11" s="104" t="s">
        <v>535</v>
      </c>
      <c r="M11" s="45" t="s">
        <v>221</v>
      </c>
      <c r="N11" s="45" t="s">
        <v>222</v>
      </c>
      <c r="O11" s="48" t="s">
        <v>290</v>
      </c>
      <c r="P11" s="45" t="s">
        <v>283</v>
      </c>
      <c r="Q11" s="45" t="s">
        <v>291</v>
      </c>
      <c r="R11" s="45" t="s">
        <v>236</v>
      </c>
      <c r="S11" s="45" t="s">
        <v>425</v>
      </c>
      <c r="T11" s="45" t="s">
        <v>292</v>
      </c>
      <c r="U11" s="52" t="s">
        <v>293</v>
      </c>
      <c r="V11" s="52" t="s">
        <v>300</v>
      </c>
      <c r="W11" s="52" t="s">
        <v>294</v>
      </c>
      <c r="X11" s="52" t="s">
        <v>301</v>
      </c>
      <c r="Y11" s="53" t="s">
        <v>295</v>
      </c>
      <c r="Z11" s="53" t="s">
        <v>237</v>
      </c>
      <c r="AA11" s="49" t="s">
        <v>296</v>
      </c>
      <c r="AB11" s="52" t="s">
        <v>302</v>
      </c>
      <c r="AC11" s="49" t="s">
        <v>303</v>
      </c>
      <c r="AD11" s="52" t="s">
        <v>304</v>
      </c>
      <c r="AE11" s="48" t="s">
        <v>297</v>
      </c>
      <c r="AF11" s="48" t="s">
        <v>237</v>
      </c>
      <c r="AG11" s="45" t="s">
        <v>238</v>
      </c>
      <c r="AH11" s="48" t="s">
        <v>305</v>
      </c>
      <c r="AI11" s="48" t="s">
        <v>537</v>
      </c>
      <c r="AJ11" s="48" t="s">
        <v>538</v>
      </c>
      <c r="AK11" s="48" t="s">
        <v>539</v>
      </c>
      <c r="AL11" s="48" t="s">
        <v>540</v>
      </c>
      <c r="AM11" s="48" t="s">
        <v>541</v>
      </c>
      <c r="AN11" s="48" t="s">
        <v>306</v>
      </c>
      <c r="AO11" s="48" t="s">
        <v>307</v>
      </c>
      <c r="AP11" s="48" t="s">
        <v>308</v>
      </c>
      <c r="AQ11" s="122" t="s">
        <v>239</v>
      </c>
      <c r="AR11" s="64" t="s">
        <v>240</v>
      </c>
      <c r="AS11" s="61" t="s">
        <v>227</v>
      </c>
      <c r="AT11" s="48" t="s">
        <v>239</v>
      </c>
      <c r="AU11" s="62" t="s">
        <v>240</v>
      </c>
      <c r="AV11" s="60" t="s">
        <v>227</v>
      </c>
      <c r="AW11" s="45" t="s">
        <v>239</v>
      </c>
      <c r="AX11" s="64" t="s">
        <v>240</v>
      </c>
      <c r="AY11" s="61" t="s">
        <v>227</v>
      </c>
      <c r="AZ11" s="48" t="s">
        <v>239</v>
      </c>
      <c r="BA11" s="62" t="s">
        <v>240</v>
      </c>
      <c r="BB11" s="60" t="s">
        <v>227</v>
      </c>
      <c r="BC11" s="45" t="s">
        <v>239</v>
      </c>
      <c r="BD11" s="64" t="s">
        <v>240</v>
      </c>
      <c r="BE11" s="61" t="s">
        <v>227</v>
      </c>
      <c r="BF11" s="48" t="s">
        <v>239</v>
      </c>
      <c r="BG11" s="62" t="s">
        <v>240</v>
      </c>
      <c r="BH11" s="60" t="s">
        <v>227</v>
      </c>
      <c r="BI11" s="45" t="s">
        <v>239</v>
      </c>
      <c r="BJ11" s="64" t="s">
        <v>240</v>
      </c>
      <c r="BK11" s="61" t="s">
        <v>227</v>
      </c>
      <c r="BL11" s="48" t="s">
        <v>239</v>
      </c>
      <c r="BM11" s="62" t="s">
        <v>240</v>
      </c>
      <c r="BN11" s="60" t="s">
        <v>227</v>
      </c>
      <c r="BO11" s="45" t="s">
        <v>239</v>
      </c>
      <c r="BP11" s="64" t="s">
        <v>240</v>
      </c>
      <c r="BQ11" s="61" t="s">
        <v>227</v>
      </c>
      <c r="BR11" s="48" t="s">
        <v>239</v>
      </c>
      <c r="BS11" s="62" t="s">
        <v>240</v>
      </c>
      <c r="BT11" s="60" t="s">
        <v>227</v>
      </c>
      <c r="BU11" s="45" t="s">
        <v>239</v>
      </c>
      <c r="BV11" s="64" t="s">
        <v>240</v>
      </c>
      <c r="BW11" s="61" t="s">
        <v>227</v>
      </c>
      <c r="BX11" s="48" t="s">
        <v>239</v>
      </c>
      <c r="BY11" s="64" t="s">
        <v>240</v>
      </c>
      <c r="BZ11" s="63" t="s">
        <v>227</v>
      </c>
      <c r="CA11" s="2" t="s">
        <v>390</v>
      </c>
      <c r="CB11" s="48" t="s">
        <v>503</v>
      </c>
      <c r="CC11" s="48" t="s">
        <v>504</v>
      </c>
      <c r="CD11" s="48" t="s">
        <v>445</v>
      </c>
      <c r="CE11" s="48" t="s">
        <v>431</v>
      </c>
      <c r="CF11" s="149" t="s">
        <v>447</v>
      </c>
      <c r="CG11" s="48" t="s">
        <v>450</v>
      </c>
      <c r="CH11" s="48" t="s">
        <v>431</v>
      </c>
      <c r="CI11" s="48" t="s">
        <v>450</v>
      </c>
      <c r="CJ11" s="48" t="s">
        <v>431</v>
      </c>
      <c r="CK11" s="48" t="s">
        <v>530</v>
      </c>
      <c r="CL11" s="48" t="s">
        <v>456</v>
      </c>
      <c r="CM11" s="48" t="s">
        <v>431</v>
      </c>
      <c r="CN11" s="48" t="s">
        <v>459</v>
      </c>
      <c r="CO11" s="48" t="s">
        <v>431</v>
      </c>
      <c r="CP11" s="48" t="s">
        <v>462</v>
      </c>
      <c r="CQ11" s="48" t="s">
        <v>431</v>
      </c>
      <c r="CR11" s="48" t="s">
        <v>481</v>
      </c>
      <c r="CS11" s="48" t="s">
        <v>431</v>
      </c>
      <c r="CT11" s="48" t="s">
        <v>481</v>
      </c>
      <c r="CU11" s="48" t="s">
        <v>431</v>
      </c>
      <c r="CV11" s="48" t="s">
        <v>481</v>
      </c>
      <c r="CW11" s="48" t="s">
        <v>431</v>
      </c>
      <c r="CX11" s="48" t="s">
        <v>509</v>
      </c>
      <c r="CZ11" s="151" t="s">
        <v>512</v>
      </c>
      <c r="DA11" s="196" t="s">
        <v>511</v>
      </c>
      <c r="DB11" s="196"/>
      <c r="DC11" s="196"/>
      <c r="DD11" s="196"/>
      <c r="DE11" s="196"/>
      <c r="DF11" s="196"/>
      <c r="DG11" s="196"/>
      <c r="DH11" s="151" t="s">
        <v>512</v>
      </c>
      <c r="DI11" s="151" t="s">
        <v>512</v>
      </c>
      <c r="DK11" s="151" t="s">
        <v>514</v>
      </c>
      <c r="DL11" s="151" t="s">
        <v>515</v>
      </c>
      <c r="DM11" s="151" t="s">
        <v>516</v>
      </c>
      <c r="DN11" s="151" t="s">
        <v>517</v>
      </c>
      <c r="DO11" s="151" t="s">
        <v>518</v>
      </c>
      <c r="DP11" s="151" t="s">
        <v>531</v>
      </c>
      <c r="DQ11" s="151" t="s">
        <v>519</v>
      </c>
      <c r="DR11" s="151" t="s">
        <v>520</v>
      </c>
      <c r="DS11" s="151" t="s">
        <v>521</v>
      </c>
      <c r="DT11" s="151" t="s">
        <v>522</v>
      </c>
      <c r="DU11" s="151" t="s">
        <v>523</v>
      </c>
      <c r="DV11" s="151" t="s">
        <v>524</v>
      </c>
      <c r="DW11" s="151" t="s">
        <v>525</v>
      </c>
      <c r="DX11" s="151" t="s">
        <v>526</v>
      </c>
      <c r="DY11" s="151" t="s">
        <v>527</v>
      </c>
      <c r="DZ11" s="151" t="s">
        <v>528</v>
      </c>
      <c r="EA11" s="151" t="s">
        <v>526</v>
      </c>
      <c r="EB11" s="197" t="s">
        <v>529</v>
      </c>
      <c r="EC11" s="197"/>
      <c r="ED11" s="197"/>
      <c r="EE11" s="197"/>
      <c r="EF11" s="197"/>
      <c r="EG11" s="197"/>
      <c r="EH11" s="197"/>
      <c r="EI11" s="197"/>
      <c r="EJ11" s="197"/>
      <c r="EK11" s="197"/>
      <c r="EL11" s="197"/>
      <c r="EM11" s="197"/>
      <c r="EN11" s="197"/>
      <c r="EP11" s="45" t="s">
        <v>548</v>
      </c>
      <c r="EQ11" s="45" t="s">
        <v>551</v>
      </c>
      <c r="ER11" s="45" t="s">
        <v>543</v>
      </c>
      <c r="ES11" s="45" t="s">
        <v>544</v>
      </c>
      <c r="ET11" s="45" t="s">
        <v>545</v>
      </c>
      <c r="EU11" s="45" t="s">
        <v>546</v>
      </c>
    </row>
    <row r="12" spans="1:151" ht="399.95" customHeight="1" x14ac:dyDescent="0.2">
      <c r="A12" s="177" t="s">
        <v>272</v>
      </c>
      <c r="B12" s="158" t="s">
        <v>387</v>
      </c>
      <c r="C12" s="158" t="s">
        <v>557</v>
      </c>
      <c r="D12" s="177" t="s">
        <v>558</v>
      </c>
      <c r="E12" s="178" t="s">
        <v>388</v>
      </c>
      <c r="F12" s="158" t="s">
        <v>389</v>
      </c>
      <c r="G12" s="178" t="s">
        <v>542</v>
      </c>
      <c r="H12" s="178" t="s">
        <v>542</v>
      </c>
      <c r="I12" s="154" t="s">
        <v>559</v>
      </c>
      <c r="J12" s="177" t="s">
        <v>63</v>
      </c>
      <c r="K12" s="178" t="s">
        <v>329</v>
      </c>
      <c r="L12" s="158" t="s">
        <v>735</v>
      </c>
      <c r="M12" s="164" t="s">
        <v>560</v>
      </c>
      <c r="N12" s="158" t="s">
        <v>339</v>
      </c>
      <c r="O12" s="158" t="s">
        <v>562</v>
      </c>
      <c r="P12" s="158" t="s">
        <v>330</v>
      </c>
      <c r="Q12" s="158" t="s">
        <v>325</v>
      </c>
      <c r="R12" s="158" t="s">
        <v>331</v>
      </c>
      <c r="S12" s="158" t="s">
        <v>426</v>
      </c>
      <c r="T12" s="181" t="s">
        <v>561</v>
      </c>
      <c r="U12" s="179" t="s">
        <v>311</v>
      </c>
      <c r="V12" s="180">
        <v>0.2</v>
      </c>
      <c r="W12" s="179" t="s">
        <v>77</v>
      </c>
      <c r="X12" s="180">
        <v>0.8</v>
      </c>
      <c r="Y12" s="66" t="s">
        <v>270</v>
      </c>
      <c r="Z12" s="158" t="s">
        <v>340</v>
      </c>
      <c r="AA12" s="179" t="s">
        <v>311</v>
      </c>
      <c r="AB12" s="182">
        <v>6.2233919999999977E-3</v>
      </c>
      <c r="AC12" s="179" t="s">
        <v>77</v>
      </c>
      <c r="AD12" s="182">
        <v>0.8</v>
      </c>
      <c r="AE12" s="66" t="s">
        <v>270</v>
      </c>
      <c r="AF12" s="158" t="s">
        <v>341</v>
      </c>
      <c r="AG12" s="177" t="s">
        <v>328</v>
      </c>
      <c r="AH12" s="181" t="s">
        <v>563</v>
      </c>
      <c r="AI12" s="181" t="s">
        <v>564</v>
      </c>
      <c r="AJ12" s="181" t="s">
        <v>542</v>
      </c>
      <c r="AK12" s="181" t="s">
        <v>542</v>
      </c>
      <c r="AL12" s="183" t="s">
        <v>565</v>
      </c>
      <c r="AM12" s="181" t="s">
        <v>566</v>
      </c>
      <c r="AN12" s="181" t="s">
        <v>554</v>
      </c>
      <c r="AO12" s="181" t="s">
        <v>555</v>
      </c>
      <c r="AP12" s="181" t="s">
        <v>556</v>
      </c>
      <c r="AQ12" s="159">
        <v>45254</v>
      </c>
      <c r="AR12" s="160" t="s">
        <v>567</v>
      </c>
      <c r="AS12" s="161" t="s">
        <v>568</v>
      </c>
      <c r="AT12" s="162"/>
      <c r="AU12" s="163"/>
      <c r="AV12" s="164"/>
      <c r="AW12" s="162"/>
      <c r="AX12" s="160"/>
      <c r="AY12" s="161"/>
      <c r="AZ12" s="162"/>
      <c r="BA12" s="163"/>
      <c r="BB12" s="164"/>
      <c r="BC12" s="162"/>
      <c r="BD12" s="160"/>
      <c r="BE12" s="161"/>
      <c r="BF12" s="162"/>
      <c r="BG12" s="163"/>
      <c r="BH12" s="164"/>
      <c r="BI12" s="162"/>
      <c r="BJ12" s="160"/>
      <c r="BK12" s="161"/>
      <c r="BL12" s="162"/>
      <c r="BM12" s="163"/>
      <c r="BN12" s="164"/>
      <c r="BO12" s="162"/>
      <c r="BP12" s="160"/>
      <c r="BQ12" s="161"/>
      <c r="BR12" s="162"/>
      <c r="BS12" s="163"/>
      <c r="BT12" s="164"/>
      <c r="BU12" s="162"/>
      <c r="BV12" s="160"/>
      <c r="BW12" s="161"/>
      <c r="BX12" s="162"/>
      <c r="BY12" s="163"/>
      <c r="BZ12" s="165"/>
      <c r="CA12" s="2">
        <f t="shared" ref="CA12:CA31" si="0">COUNTBLANK(A12:BZ12)</f>
        <v>33</v>
      </c>
      <c r="CB12" s="51" t="s">
        <v>506</v>
      </c>
      <c r="CC12" s="51" t="s">
        <v>492</v>
      </c>
      <c r="CD12" s="51" t="s">
        <v>433</v>
      </c>
      <c r="CE12" s="51" t="s">
        <v>434</v>
      </c>
      <c r="CF12" s="51" t="s">
        <v>432</v>
      </c>
      <c r="CG12" s="51" t="s">
        <v>432</v>
      </c>
      <c r="CH12" s="51" t="s">
        <v>448</v>
      </c>
      <c r="CI12" s="51" t="s">
        <v>432</v>
      </c>
      <c r="CJ12" s="51" t="s">
        <v>453</v>
      </c>
      <c r="CK12" s="51"/>
      <c r="CL12" s="51" t="s">
        <v>452</v>
      </c>
      <c r="CM12" s="51" t="s">
        <v>457</v>
      </c>
      <c r="CN12" s="51" t="s">
        <v>452</v>
      </c>
      <c r="CO12" s="51" t="s">
        <v>452</v>
      </c>
      <c r="CP12" s="51" t="s">
        <v>452</v>
      </c>
      <c r="CQ12" s="51" t="s">
        <v>452</v>
      </c>
      <c r="CR12" s="51" t="s">
        <v>479</v>
      </c>
      <c r="CS12" s="51" t="s">
        <v>452</v>
      </c>
      <c r="CT12" s="51"/>
      <c r="CU12" s="51"/>
      <c r="CV12" s="51"/>
      <c r="CW12" s="51"/>
      <c r="CX12" s="51" t="s">
        <v>452</v>
      </c>
      <c r="CZ12" s="153" t="str">
        <f t="shared" ref="CZ12:CZ31" si="1">J12</f>
        <v>Corrupción</v>
      </c>
      <c r="DA12" s="200" t="str">
        <f t="shared" ref="DA12:DA31" si="2">I12</f>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DB12" s="200"/>
      <c r="DC12" s="200"/>
      <c r="DD12" s="200"/>
      <c r="DE12" s="200"/>
      <c r="DF12" s="200"/>
      <c r="DG12" s="200"/>
      <c r="DH12" s="153" t="str">
        <f t="shared" ref="DH12:DH31" si="3">Y12</f>
        <v>Alto</v>
      </c>
      <c r="DI12" s="153" t="str">
        <f t="shared" ref="DI12:DI19" si="4">AE12</f>
        <v>Alto</v>
      </c>
      <c r="DK12" s="149" t="e">
        <f>SUM(LEN(#REF!)-LEN(SUBSTITUTE(#REF!,"- Preventivo","")))/LEN("- Preventivo")</f>
        <v>#REF!</v>
      </c>
      <c r="DL12" s="149" t="e">
        <f t="shared" ref="DL12:DL31" si="5">SUMIFS($DK$12:$DK$31,$A$12:$A$31,A12)</f>
        <v>#REF!</v>
      </c>
      <c r="DM12" s="149" t="e">
        <f>SUM(LEN(#REF!)-LEN(SUBSTITUTE(#REF!,"- Detectivo","")))/LEN("- Detectivo")</f>
        <v>#REF!</v>
      </c>
      <c r="DN12" s="149" t="e">
        <f t="shared" ref="DN12:DN31" si="6">SUMIFS($DM$12:$DM$31,$A$12:$A$31,A12)</f>
        <v>#REF!</v>
      </c>
      <c r="DO12" s="149" t="e">
        <f>SUM(LEN(#REF!)-LEN(SUBSTITUTE(#REF!,"- Correctivo","")))/LEN("- Correctivo")</f>
        <v>#REF!</v>
      </c>
      <c r="DP12" s="149" t="e">
        <f t="shared" ref="DP12:DP31" si="7">SUMIFS($DO$12:$DO$31,$A$12:$A$31,A12)</f>
        <v>#REF!</v>
      </c>
      <c r="DQ12" s="149" t="e">
        <f t="shared" ref="DQ12:DQ27" si="8">DK12+DM12+DO12</f>
        <v>#REF!</v>
      </c>
      <c r="DR12" s="149" t="e">
        <f t="shared" ref="DR12:DR31" si="9">SUMIFS($DQ$12:$DQ$31,$A$12:$A$31,A12)</f>
        <v>#REF!</v>
      </c>
      <c r="DS12" s="149" t="e">
        <f>SUM(LEN(#REF!)-LEN(SUBSTITUTE(#REF!,"- Documentado","")))/LEN("- Documentado")</f>
        <v>#REF!</v>
      </c>
      <c r="DT12" s="149" t="e">
        <f>SUM(LEN(#REF!)-LEN(SUBSTITUTE(#REF!,"- Documentado","")))/LEN("- Documentado")</f>
        <v>#REF!</v>
      </c>
      <c r="DU12" s="149" t="e">
        <f t="shared" ref="DU12:DU31" si="10">SUMIFS($DS$12:$DS$31,$A$12:$A$31,A12)+SUMIFS($DT$12:$DT$31,$A$12:$A$31,A12)</f>
        <v>#REF!</v>
      </c>
      <c r="DV12" s="149" t="e">
        <f>SUM(LEN(#REF!)-LEN(SUBSTITUTE(#REF!,"- Continua","")))/LEN("- Continua")</f>
        <v>#REF!</v>
      </c>
      <c r="DW12" s="149" t="e">
        <f>SUM(LEN(#REF!)-LEN(SUBSTITUTE(#REF!,"- Continua","")))/LEN("- Continua")</f>
        <v>#REF!</v>
      </c>
      <c r="DX12" s="149" t="e">
        <f t="shared" ref="DX12:DX31" si="11">SUMIFS($DV$12:$DV$31,$A$12:$A$31,A12)+SUMIFS($DW$12:$DW$31,$A$12:$A$31,A12)</f>
        <v>#REF!</v>
      </c>
      <c r="DY12" s="149" t="e">
        <f>SUM(LEN(#REF!)-LEN(SUBSTITUTE(#REF!,"- Con registro","")))/LEN("- Con registro")</f>
        <v>#REF!</v>
      </c>
      <c r="DZ12" s="149" t="e">
        <f>SUM(LEN(#REF!)-LEN(SUBSTITUTE(#REF!,"- Con registro","")))/LEN("- Con registro")</f>
        <v>#REF!</v>
      </c>
      <c r="EA12" s="149" t="e">
        <f t="shared" ref="EA12:EA31" si="12">SUMIFS($DY$12:$DY$31,$A$12:$A$31,A12)+SUMIFS($DZ$12:$DZ$31,$A$12:$A$31,A12)</f>
        <v>#REF!</v>
      </c>
      <c r="EB12" s="152" t="e">
        <f t="shared" ref="EB12:EB27" si="13">CONCATENATE("El proceso estableció ",DR12," controles frente a los riesgos identificados, de los cuales:
")</f>
        <v>#REF!</v>
      </c>
      <c r="EC12" s="152" t="e">
        <f t="shared" ref="EC12:EC27" si="14">CONCATENATE("- ",DL12," son preventivos, ",DN12," detectivos y ",DP12," correctivos.
")</f>
        <v>#REF!</v>
      </c>
      <c r="ED12" s="184" t="e">
        <f t="shared" ref="ED12:ED27" si="15">CONCATENATE("- ",DU12," están documentados, ",DX12," se aplican continuamente de acuerdo con la periodicidad establecida y en ",EA12," se deja registro de la aplicación.")</f>
        <v>#REF!</v>
      </c>
      <c r="EE12" s="198" t="e">
        <f t="shared" ref="EE12:EE27" si="16">CONCATENATE(EB12,EC12,ED12)</f>
        <v>#REF!</v>
      </c>
      <c r="EF12" s="198"/>
      <c r="EG12" s="198"/>
      <c r="EH12" s="198"/>
      <c r="EI12" s="198"/>
      <c r="EJ12" s="198"/>
      <c r="EK12" s="198"/>
      <c r="EL12" s="198"/>
      <c r="EM12" s="198"/>
      <c r="EN12" s="198"/>
      <c r="EP12" s="172">
        <f t="shared" ref="EP12:EP27" si="17">IF(AQ12&gt;=$EP$1,AQ12,IF(AT12&gt;=$EP$1,AT12,IF(AW12&gt;=$EP$1,AW12,IF(AZ12&gt;=$EP$1,AZ12,IF(BC12&gt;=$EP$1,BC12,IF(BF12&gt;=$EP$1,BF12,IF(BI12&gt;=$EP$1,BI12,IF(BL12&gt;=$EP$1,BL12,IF(BO12&gt;=$EP$1,BO12,IF(BR12&gt;=$EP$1,BR12,IF(BU12&gt;=$EP$1,BU12,IF(BX12&gt;=$EP$1,BX12,""))))))))))))</f>
        <v>45254</v>
      </c>
      <c r="EQ12" s="173">
        <f t="shared" ref="EQ12:EQ27" si="18">IF(EP12="","",$B$6)</f>
        <v>45320</v>
      </c>
      <c r="ER12" s="149" t="str">
        <f t="shared" ref="ER12:ER27" si="19">IF(EQ12="","","Riesgos")</f>
        <v>Riesgos</v>
      </c>
      <c r="ES12" s="149" t="str">
        <f t="shared" ref="ES12:ES31" si="20">IF(ER12="","",CONCATENATE("ID_",G12,": ",I12))</f>
        <v>ID_-: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ET12" s="149" t="str">
        <f t="shared" ref="ET12:ET31" si="21">IF(ES12="","",CONCATENATE("Ajuste en ",VLOOKUP(EP12,AQ12:BZ12,(MATCH(EP12,AQ12:BZ12,10)+1))," en el Mapa de riesgos de ",A12))</f>
        <v>Ajuste en 
Establecimiento de controles
Tratamiento del riesgo en el Mapa de riesgos de Control Disciplinario</v>
      </c>
      <c r="EU12" s="149" t="str">
        <f t="shared" ref="EU12:EU31" si="22">IF(ET12="","",CONCATENATE("Solicitud de cambio realizada y aprobada por la ",L12," a través del Aplicativo DARUMA"))</f>
        <v>Solicitud de cambio realizada y aprobada por la Oficina de Control Disciplinario Interno, Oficina Jurídica y Despacho de la Secretaría General a través del Aplicativo DARUMA</v>
      </c>
    </row>
    <row r="13" spans="1:151" ht="399.95" customHeight="1" x14ac:dyDescent="0.2">
      <c r="A13" s="177" t="s">
        <v>273</v>
      </c>
      <c r="B13" s="158" t="s">
        <v>391</v>
      </c>
      <c r="C13" s="158" t="s">
        <v>569</v>
      </c>
      <c r="D13" s="177" t="s">
        <v>174</v>
      </c>
      <c r="E13" s="178" t="s">
        <v>388</v>
      </c>
      <c r="F13" s="158" t="s">
        <v>392</v>
      </c>
      <c r="G13" s="178" t="s">
        <v>542</v>
      </c>
      <c r="H13" s="178" t="s">
        <v>542</v>
      </c>
      <c r="I13" s="154" t="s">
        <v>734</v>
      </c>
      <c r="J13" s="177" t="s">
        <v>63</v>
      </c>
      <c r="K13" s="178" t="s">
        <v>329</v>
      </c>
      <c r="L13" s="158" t="s">
        <v>321</v>
      </c>
      <c r="M13" s="164" t="s">
        <v>345</v>
      </c>
      <c r="N13" s="158" t="s">
        <v>344</v>
      </c>
      <c r="O13" s="158" t="s">
        <v>346</v>
      </c>
      <c r="P13" s="158" t="s">
        <v>330</v>
      </c>
      <c r="Q13" s="158" t="s">
        <v>325</v>
      </c>
      <c r="R13" s="158" t="s">
        <v>331</v>
      </c>
      <c r="S13" s="158" t="s">
        <v>426</v>
      </c>
      <c r="T13" s="158" t="s">
        <v>561</v>
      </c>
      <c r="U13" s="179" t="s">
        <v>311</v>
      </c>
      <c r="V13" s="180">
        <v>0.2</v>
      </c>
      <c r="W13" s="179" t="s">
        <v>77</v>
      </c>
      <c r="X13" s="180">
        <v>0.8</v>
      </c>
      <c r="Y13" s="66" t="s">
        <v>270</v>
      </c>
      <c r="Z13" s="158" t="s">
        <v>340</v>
      </c>
      <c r="AA13" s="179" t="s">
        <v>311</v>
      </c>
      <c r="AB13" s="182">
        <v>8.3999999999999991E-2</v>
      </c>
      <c r="AC13" s="179" t="s">
        <v>77</v>
      </c>
      <c r="AD13" s="182">
        <v>0.8</v>
      </c>
      <c r="AE13" s="66" t="s">
        <v>270</v>
      </c>
      <c r="AF13" s="158" t="s">
        <v>341</v>
      </c>
      <c r="AG13" s="177" t="s">
        <v>328</v>
      </c>
      <c r="AH13" s="181" t="s">
        <v>570</v>
      </c>
      <c r="AI13" s="181" t="s">
        <v>571</v>
      </c>
      <c r="AJ13" s="181" t="s">
        <v>542</v>
      </c>
      <c r="AK13" s="181" t="s">
        <v>542</v>
      </c>
      <c r="AL13" s="183" t="s">
        <v>572</v>
      </c>
      <c r="AM13" s="183" t="s">
        <v>573</v>
      </c>
      <c r="AN13" s="158" t="s">
        <v>574</v>
      </c>
      <c r="AO13" s="158" t="s">
        <v>575</v>
      </c>
      <c r="AP13" s="158" t="s">
        <v>576</v>
      </c>
      <c r="AQ13" s="159">
        <v>45261</v>
      </c>
      <c r="AR13" s="160" t="s">
        <v>577</v>
      </c>
      <c r="AS13" s="161" t="s">
        <v>578</v>
      </c>
      <c r="AT13" s="162"/>
      <c r="AU13" s="163"/>
      <c r="AV13" s="164"/>
      <c r="AW13" s="162"/>
      <c r="AX13" s="160"/>
      <c r="AY13" s="161"/>
      <c r="AZ13" s="162"/>
      <c r="BA13" s="163"/>
      <c r="BB13" s="164"/>
      <c r="BC13" s="162"/>
      <c r="BD13" s="160"/>
      <c r="BE13" s="161"/>
      <c r="BF13" s="162"/>
      <c r="BG13" s="163"/>
      <c r="BH13" s="164"/>
      <c r="BI13" s="162"/>
      <c r="BJ13" s="160"/>
      <c r="BK13" s="161"/>
      <c r="BL13" s="162"/>
      <c r="BM13" s="163"/>
      <c r="BN13" s="164"/>
      <c r="BO13" s="162"/>
      <c r="BP13" s="160"/>
      <c r="BQ13" s="161"/>
      <c r="BR13" s="162"/>
      <c r="BS13" s="163"/>
      <c r="BT13" s="164"/>
      <c r="BU13" s="162"/>
      <c r="BV13" s="160"/>
      <c r="BW13" s="161"/>
      <c r="BX13" s="162"/>
      <c r="BY13" s="163"/>
      <c r="BZ13" s="165"/>
      <c r="CA13" s="2">
        <f t="shared" si="0"/>
        <v>33</v>
      </c>
      <c r="CB13" s="51" t="s">
        <v>490</v>
      </c>
      <c r="CC13" s="51" t="s">
        <v>501</v>
      </c>
      <c r="CD13" s="142" t="s">
        <v>435</v>
      </c>
      <c r="CE13" s="51" t="s">
        <v>452</v>
      </c>
      <c r="CF13" s="51" t="s">
        <v>432</v>
      </c>
      <c r="CG13" s="51" t="s">
        <v>432</v>
      </c>
      <c r="CH13" s="51" t="s">
        <v>448</v>
      </c>
      <c r="CI13" s="51" t="s">
        <v>432</v>
      </c>
      <c r="CJ13" s="51" t="s">
        <v>452</v>
      </c>
      <c r="CK13" s="51"/>
      <c r="CL13" s="51" t="s">
        <v>458</v>
      </c>
      <c r="CM13" s="51" t="s">
        <v>457</v>
      </c>
      <c r="CN13" s="51" t="s">
        <v>452</v>
      </c>
      <c r="CO13" s="51" t="s">
        <v>452</v>
      </c>
      <c r="CP13" s="51" t="s">
        <v>452</v>
      </c>
      <c r="CQ13" s="51" t="s">
        <v>452</v>
      </c>
      <c r="CR13" s="51" t="s">
        <v>480</v>
      </c>
      <c r="CS13" s="51" t="s">
        <v>452</v>
      </c>
      <c r="CT13" s="51" t="s">
        <v>452</v>
      </c>
      <c r="CU13" s="51" t="s">
        <v>452</v>
      </c>
      <c r="CV13" s="51" t="s">
        <v>452</v>
      </c>
      <c r="CW13" s="51" t="s">
        <v>452</v>
      </c>
      <c r="CX13" s="51" t="s">
        <v>452</v>
      </c>
      <c r="CZ13" s="153" t="str">
        <f t="shared" si="1"/>
        <v>Corrupción</v>
      </c>
      <c r="DA13" s="200" t="str">
        <f t="shared" si="2"/>
        <v>Posibilidad de afectación reputacional por sanción disciplinaria de una instancia competente o de un ente de control o regulador, debido a resultados y conclusiones ajustadas a intereses propios o de un tercero, como producto de las evaluaciones de auditoría practicadas.</v>
      </c>
      <c r="DB13" s="200"/>
      <c r="DC13" s="200"/>
      <c r="DD13" s="200"/>
      <c r="DE13" s="200"/>
      <c r="DF13" s="200"/>
      <c r="DG13" s="200"/>
      <c r="DH13" s="153" t="str">
        <f t="shared" si="3"/>
        <v>Alto</v>
      </c>
      <c r="DI13" s="153" t="str">
        <f t="shared" si="4"/>
        <v>Alto</v>
      </c>
      <c r="DK13" s="149" t="e">
        <f>SUM(LEN(#REF!)-LEN(SUBSTITUTE(#REF!,"- Preventivo","")))/LEN("- Preventivo")</f>
        <v>#REF!</v>
      </c>
      <c r="DL13" s="149" t="e">
        <f t="shared" si="5"/>
        <v>#REF!</v>
      </c>
      <c r="DM13" s="149" t="e">
        <f>SUM(LEN(#REF!)-LEN(SUBSTITUTE(#REF!,"- Detectivo","")))/LEN("- Detectivo")</f>
        <v>#REF!</v>
      </c>
      <c r="DN13" s="149" t="e">
        <f t="shared" si="6"/>
        <v>#REF!</v>
      </c>
      <c r="DO13" s="149" t="e">
        <f>SUM(LEN(#REF!)-LEN(SUBSTITUTE(#REF!,"- Correctivo","")))/LEN("- Correctivo")</f>
        <v>#REF!</v>
      </c>
      <c r="DP13" s="149" t="e">
        <f t="shared" si="7"/>
        <v>#REF!</v>
      </c>
      <c r="DQ13" s="149" t="e">
        <f t="shared" si="8"/>
        <v>#REF!</v>
      </c>
      <c r="DR13" s="149" t="e">
        <f t="shared" si="9"/>
        <v>#REF!</v>
      </c>
      <c r="DS13" s="149" t="e">
        <f>SUM(LEN(#REF!)-LEN(SUBSTITUTE(#REF!,"- Documentado","")))/LEN("- Documentado")</f>
        <v>#REF!</v>
      </c>
      <c r="DT13" s="149" t="e">
        <f>SUM(LEN(#REF!)-LEN(SUBSTITUTE(#REF!,"- Documentado","")))/LEN("- Documentado")</f>
        <v>#REF!</v>
      </c>
      <c r="DU13" s="149" t="e">
        <f t="shared" si="10"/>
        <v>#REF!</v>
      </c>
      <c r="DV13" s="149" t="e">
        <f>SUM(LEN(#REF!)-LEN(SUBSTITUTE(#REF!,"- Continua","")))/LEN("- Continua")</f>
        <v>#REF!</v>
      </c>
      <c r="DW13" s="149" t="e">
        <f>SUM(LEN(#REF!)-LEN(SUBSTITUTE(#REF!,"- Continua","")))/LEN("- Continua")</f>
        <v>#REF!</v>
      </c>
      <c r="DX13" s="149" t="e">
        <f t="shared" si="11"/>
        <v>#REF!</v>
      </c>
      <c r="DY13" s="149" t="e">
        <f>SUM(LEN(#REF!)-LEN(SUBSTITUTE(#REF!,"- Con registro","")))/LEN("- Con registro")</f>
        <v>#REF!</v>
      </c>
      <c r="DZ13" s="149" t="e">
        <f>SUM(LEN(#REF!)-LEN(SUBSTITUTE(#REF!,"- Con registro","")))/LEN("- Con registro")</f>
        <v>#REF!</v>
      </c>
      <c r="EA13" s="149" t="e">
        <f t="shared" si="12"/>
        <v>#REF!</v>
      </c>
      <c r="EB13" s="152" t="e">
        <f t="shared" si="13"/>
        <v>#REF!</v>
      </c>
      <c r="EC13" s="152" t="e">
        <f t="shared" si="14"/>
        <v>#REF!</v>
      </c>
      <c r="ED13" s="184" t="e">
        <f t="shared" si="15"/>
        <v>#REF!</v>
      </c>
      <c r="EE13" s="198" t="e">
        <f t="shared" si="16"/>
        <v>#REF!</v>
      </c>
      <c r="EF13" s="198"/>
      <c r="EG13" s="198"/>
      <c r="EH13" s="198"/>
      <c r="EI13" s="198"/>
      <c r="EJ13" s="198"/>
      <c r="EK13" s="198"/>
      <c r="EL13" s="198"/>
      <c r="EM13" s="198"/>
      <c r="EN13" s="198"/>
      <c r="EP13" s="172">
        <f t="shared" si="17"/>
        <v>45261</v>
      </c>
      <c r="EQ13" s="173">
        <f t="shared" si="18"/>
        <v>45320</v>
      </c>
      <c r="ER13" s="149" t="str">
        <f t="shared" si="19"/>
        <v>Riesgos</v>
      </c>
      <c r="ES13" s="149" t="str">
        <f t="shared" si="20"/>
        <v>ID_-: Posibilidad de afectación reputacional por sanción disciplinaria de una instancia competente o de un ente de control o regulador, debido a resultados y conclusiones ajustadas a intereses propios o de un tercero, como producto de las evaluaciones de auditoría practicadas.</v>
      </c>
      <c r="ET13" s="149" t="str">
        <f t="shared" si="21"/>
        <v>Ajuste en Identificación del riesgo
Establecimiento de controles
Tratamiento del riesgo en el Mapa de riesgos de Evaluación del Sistema de Control Interno</v>
      </c>
      <c r="EU13" s="149" t="str">
        <f t="shared" si="22"/>
        <v>Solicitud de cambio realizada y aprobada por la Oficina de Control Interno a través del Aplicativo DARUMA</v>
      </c>
    </row>
    <row r="14" spans="1:151" ht="399.95" customHeight="1" x14ac:dyDescent="0.2">
      <c r="A14" s="177" t="s">
        <v>393</v>
      </c>
      <c r="B14" s="158" t="s">
        <v>579</v>
      </c>
      <c r="C14" s="158" t="s">
        <v>394</v>
      </c>
      <c r="D14" s="177" t="s">
        <v>424</v>
      </c>
      <c r="E14" s="178" t="s">
        <v>38</v>
      </c>
      <c r="F14" s="158" t="s">
        <v>395</v>
      </c>
      <c r="G14" s="178" t="s">
        <v>542</v>
      </c>
      <c r="H14" s="178" t="s">
        <v>542</v>
      </c>
      <c r="I14" s="154" t="s">
        <v>362</v>
      </c>
      <c r="J14" s="177" t="s">
        <v>63</v>
      </c>
      <c r="K14" s="178" t="s">
        <v>326</v>
      </c>
      <c r="L14" s="158" t="s">
        <v>251</v>
      </c>
      <c r="M14" s="164" t="s">
        <v>580</v>
      </c>
      <c r="N14" s="158" t="s">
        <v>581</v>
      </c>
      <c r="O14" s="158" t="s">
        <v>582</v>
      </c>
      <c r="P14" s="158" t="s">
        <v>330</v>
      </c>
      <c r="Q14" s="158" t="s">
        <v>583</v>
      </c>
      <c r="R14" s="158" t="s">
        <v>347</v>
      </c>
      <c r="S14" s="158" t="s">
        <v>426</v>
      </c>
      <c r="T14" s="158" t="s">
        <v>561</v>
      </c>
      <c r="U14" s="179" t="s">
        <v>311</v>
      </c>
      <c r="V14" s="180">
        <v>0.2</v>
      </c>
      <c r="W14" s="179" t="s">
        <v>51</v>
      </c>
      <c r="X14" s="180">
        <v>1</v>
      </c>
      <c r="Y14" s="66" t="s">
        <v>271</v>
      </c>
      <c r="Z14" s="158" t="s">
        <v>363</v>
      </c>
      <c r="AA14" s="179" t="s">
        <v>311</v>
      </c>
      <c r="AB14" s="182">
        <v>1.2700799999999998E-2</v>
      </c>
      <c r="AC14" s="179" t="s">
        <v>51</v>
      </c>
      <c r="AD14" s="182">
        <v>1</v>
      </c>
      <c r="AE14" s="66" t="s">
        <v>271</v>
      </c>
      <c r="AF14" s="158" t="s">
        <v>364</v>
      </c>
      <c r="AG14" s="177" t="s">
        <v>328</v>
      </c>
      <c r="AH14" s="181" t="s">
        <v>584</v>
      </c>
      <c r="AI14" s="181" t="s">
        <v>585</v>
      </c>
      <c r="AJ14" s="181" t="s">
        <v>542</v>
      </c>
      <c r="AK14" s="181" t="s">
        <v>542</v>
      </c>
      <c r="AL14" s="183" t="s">
        <v>586</v>
      </c>
      <c r="AM14" s="183" t="s">
        <v>587</v>
      </c>
      <c r="AN14" s="158" t="s">
        <v>588</v>
      </c>
      <c r="AO14" s="158" t="s">
        <v>589</v>
      </c>
      <c r="AP14" s="158" t="s">
        <v>590</v>
      </c>
      <c r="AQ14" s="159">
        <v>45266</v>
      </c>
      <c r="AR14" s="160" t="s">
        <v>332</v>
      </c>
      <c r="AS14" s="161" t="s">
        <v>591</v>
      </c>
      <c r="AT14" s="162"/>
      <c r="AU14" s="163"/>
      <c r="AV14" s="164"/>
      <c r="AW14" s="162"/>
      <c r="AX14" s="160"/>
      <c r="AY14" s="161"/>
      <c r="AZ14" s="162"/>
      <c r="BA14" s="163"/>
      <c r="BB14" s="164"/>
      <c r="BC14" s="162"/>
      <c r="BD14" s="160"/>
      <c r="BE14" s="161"/>
      <c r="BF14" s="162"/>
      <c r="BG14" s="163"/>
      <c r="BH14" s="164"/>
      <c r="BI14" s="162"/>
      <c r="BJ14" s="160"/>
      <c r="BK14" s="161"/>
      <c r="BL14" s="162"/>
      <c r="BM14" s="163"/>
      <c r="BN14" s="164"/>
      <c r="BO14" s="162"/>
      <c r="BP14" s="160"/>
      <c r="BQ14" s="161"/>
      <c r="BR14" s="162"/>
      <c r="BS14" s="163"/>
      <c r="BT14" s="164"/>
      <c r="BU14" s="162"/>
      <c r="BV14" s="160"/>
      <c r="BW14" s="161"/>
      <c r="BX14" s="162"/>
      <c r="BY14" s="163"/>
      <c r="BZ14" s="165"/>
      <c r="CA14" s="2">
        <f t="shared" si="0"/>
        <v>33</v>
      </c>
      <c r="CB14" s="51" t="s">
        <v>497</v>
      </c>
      <c r="CC14" s="51" t="s">
        <v>498</v>
      </c>
      <c r="CD14" s="51" t="s">
        <v>436</v>
      </c>
      <c r="CE14" s="51" t="s">
        <v>452</v>
      </c>
      <c r="CF14" s="51" t="s">
        <v>432</v>
      </c>
      <c r="CG14" s="51" t="s">
        <v>432</v>
      </c>
      <c r="CH14" s="51" t="s">
        <v>448</v>
      </c>
      <c r="CI14" s="51" t="s">
        <v>432</v>
      </c>
      <c r="CJ14" s="51" t="s">
        <v>452</v>
      </c>
      <c r="CK14" s="51"/>
      <c r="CL14" s="51" t="s">
        <v>452</v>
      </c>
      <c r="CM14" s="51" t="s">
        <v>457</v>
      </c>
      <c r="CN14" s="51" t="s">
        <v>452</v>
      </c>
      <c r="CO14" s="51" t="s">
        <v>452</v>
      </c>
      <c r="CP14" s="51" t="s">
        <v>452</v>
      </c>
      <c r="CQ14" s="51" t="s">
        <v>452</v>
      </c>
      <c r="CR14" s="51" t="s">
        <v>465</v>
      </c>
      <c r="CS14" s="51" t="s">
        <v>452</v>
      </c>
      <c r="CT14" s="51" t="s">
        <v>452</v>
      </c>
      <c r="CU14" s="51" t="s">
        <v>452</v>
      </c>
      <c r="CV14" s="51" t="s">
        <v>452</v>
      </c>
      <c r="CW14" s="51" t="s">
        <v>452</v>
      </c>
      <c r="CX14" s="51" t="s">
        <v>452</v>
      </c>
      <c r="CZ14" s="153" t="str">
        <f t="shared" si="1"/>
        <v>Corrupción</v>
      </c>
      <c r="DA14" s="200" t="str">
        <f t="shared" si="2"/>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200"/>
      <c r="DC14" s="200"/>
      <c r="DD14" s="200"/>
      <c r="DE14" s="200"/>
      <c r="DF14" s="200"/>
      <c r="DG14" s="200"/>
      <c r="DH14" s="153" t="str">
        <f t="shared" si="3"/>
        <v>Extremo</v>
      </c>
      <c r="DI14" s="153" t="str">
        <f t="shared" si="4"/>
        <v>Extremo</v>
      </c>
      <c r="DK14" s="149" t="e">
        <f>SUM(LEN(#REF!)-LEN(SUBSTITUTE(#REF!,"- Preventivo","")))/LEN("- Preventivo")</f>
        <v>#REF!</v>
      </c>
      <c r="DL14" s="149" t="e">
        <f t="shared" si="5"/>
        <v>#REF!</v>
      </c>
      <c r="DM14" s="149" t="e">
        <f>SUM(LEN(#REF!)-LEN(SUBSTITUTE(#REF!,"- Detectivo","")))/LEN("- Detectivo")</f>
        <v>#REF!</v>
      </c>
      <c r="DN14" s="149" t="e">
        <f t="shared" si="6"/>
        <v>#REF!</v>
      </c>
      <c r="DO14" s="149" t="e">
        <f>SUM(LEN(#REF!)-LEN(SUBSTITUTE(#REF!,"- Correctivo","")))/LEN("- Correctivo")</f>
        <v>#REF!</v>
      </c>
      <c r="DP14" s="149" t="e">
        <f t="shared" si="7"/>
        <v>#REF!</v>
      </c>
      <c r="DQ14" s="149" t="e">
        <f t="shared" si="8"/>
        <v>#REF!</v>
      </c>
      <c r="DR14" s="149" t="e">
        <f t="shared" si="9"/>
        <v>#REF!</v>
      </c>
      <c r="DS14" s="149" t="e">
        <f>SUM(LEN(#REF!)-LEN(SUBSTITUTE(#REF!,"- Documentado","")))/LEN("- Documentado")</f>
        <v>#REF!</v>
      </c>
      <c r="DT14" s="149" t="e">
        <f>SUM(LEN(#REF!)-LEN(SUBSTITUTE(#REF!,"- Documentado","")))/LEN("- Documentado")</f>
        <v>#REF!</v>
      </c>
      <c r="DU14" s="149" t="e">
        <f t="shared" si="10"/>
        <v>#REF!</v>
      </c>
      <c r="DV14" s="149" t="e">
        <f>SUM(LEN(#REF!)-LEN(SUBSTITUTE(#REF!,"- Continua","")))/LEN("- Continua")</f>
        <v>#REF!</v>
      </c>
      <c r="DW14" s="149" t="e">
        <f>SUM(LEN(#REF!)-LEN(SUBSTITUTE(#REF!,"- Continua","")))/LEN("- Continua")</f>
        <v>#REF!</v>
      </c>
      <c r="DX14" s="149" t="e">
        <f t="shared" si="11"/>
        <v>#REF!</v>
      </c>
      <c r="DY14" s="149" t="e">
        <f>SUM(LEN(#REF!)-LEN(SUBSTITUTE(#REF!,"- Con registro","")))/LEN("- Con registro")</f>
        <v>#REF!</v>
      </c>
      <c r="DZ14" s="149" t="e">
        <f>SUM(LEN(#REF!)-LEN(SUBSTITUTE(#REF!,"- Con registro","")))/LEN("- Con registro")</f>
        <v>#REF!</v>
      </c>
      <c r="EA14" s="149" t="e">
        <f t="shared" si="12"/>
        <v>#REF!</v>
      </c>
      <c r="EB14" s="152" t="e">
        <f t="shared" si="13"/>
        <v>#REF!</v>
      </c>
      <c r="EC14" s="152" t="e">
        <f t="shared" si="14"/>
        <v>#REF!</v>
      </c>
      <c r="ED14" s="184" t="e">
        <f t="shared" si="15"/>
        <v>#REF!</v>
      </c>
      <c r="EE14" s="198" t="e">
        <f t="shared" si="16"/>
        <v>#REF!</v>
      </c>
      <c r="EF14" s="198"/>
      <c r="EG14" s="198"/>
      <c r="EH14" s="198"/>
      <c r="EI14" s="198"/>
      <c r="EJ14" s="198"/>
      <c r="EK14" s="198"/>
      <c r="EL14" s="198"/>
      <c r="EM14" s="198"/>
      <c r="EN14" s="198"/>
      <c r="EP14" s="172">
        <f t="shared" si="17"/>
        <v>45266</v>
      </c>
      <c r="EQ14" s="173">
        <f t="shared" si="18"/>
        <v>45320</v>
      </c>
      <c r="ER14" s="149" t="str">
        <f t="shared" si="19"/>
        <v>Riesgos</v>
      </c>
      <c r="ES14" s="149" t="str">
        <f t="shared" si="20"/>
        <v>ID_-: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ET14" s="149" t="str">
        <f t="shared" si="21"/>
        <v>Ajuste en Identificación del riesgo
Tratamiento del riesgo en el Mapa de riesgos de Fortalecimiento de la Gestión Pública</v>
      </c>
      <c r="EU14" s="149" t="str">
        <f t="shared" si="22"/>
        <v>Solicitud de cambio realizada y aprobada por la Dirección Distrital de Archivo de Bogotá a través del Aplicativo DARUMA</v>
      </c>
    </row>
    <row r="15" spans="1:151" ht="399.95" customHeight="1" x14ac:dyDescent="0.2">
      <c r="A15" s="177" t="s">
        <v>393</v>
      </c>
      <c r="B15" s="158" t="s">
        <v>579</v>
      </c>
      <c r="C15" s="158" t="s">
        <v>394</v>
      </c>
      <c r="D15" s="177" t="s">
        <v>424</v>
      </c>
      <c r="E15" s="178" t="s">
        <v>38</v>
      </c>
      <c r="F15" s="158" t="s">
        <v>396</v>
      </c>
      <c r="G15" s="178" t="s">
        <v>542</v>
      </c>
      <c r="H15" s="178" t="s">
        <v>542</v>
      </c>
      <c r="I15" s="154" t="s">
        <v>592</v>
      </c>
      <c r="J15" s="177" t="s">
        <v>63</v>
      </c>
      <c r="K15" s="178" t="s">
        <v>326</v>
      </c>
      <c r="L15" s="158" t="s">
        <v>251</v>
      </c>
      <c r="M15" s="164" t="s">
        <v>593</v>
      </c>
      <c r="N15" s="158" t="s">
        <v>594</v>
      </c>
      <c r="O15" s="158" t="s">
        <v>365</v>
      </c>
      <c r="P15" s="158" t="s">
        <v>330</v>
      </c>
      <c r="Q15" s="158" t="s">
        <v>325</v>
      </c>
      <c r="R15" s="158" t="s">
        <v>347</v>
      </c>
      <c r="S15" s="158" t="s">
        <v>426</v>
      </c>
      <c r="T15" s="158" t="s">
        <v>561</v>
      </c>
      <c r="U15" s="179" t="s">
        <v>311</v>
      </c>
      <c r="V15" s="180">
        <v>0.2</v>
      </c>
      <c r="W15" s="179" t="s">
        <v>77</v>
      </c>
      <c r="X15" s="180">
        <v>0.8</v>
      </c>
      <c r="Y15" s="66" t="s">
        <v>270</v>
      </c>
      <c r="Z15" s="158" t="s">
        <v>595</v>
      </c>
      <c r="AA15" s="179" t="s">
        <v>311</v>
      </c>
      <c r="AB15" s="182">
        <v>3.5279999999999992E-2</v>
      </c>
      <c r="AC15" s="179" t="s">
        <v>77</v>
      </c>
      <c r="AD15" s="182">
        <v>0.8</v>
      </c>
      <c r="AE15" s="66" t="s">
        <v>270</v>
      </c>
      <c r="AF15" s="158" t="s">
        <v>341</v>
      </c>
      <c r="AG15" s="177" t="s">
        <v>328</v>
      </c>
      <c r="AH15" s="158" t="s">
        <v>596</v>
      </c>
      <c r="AI15" s="158" t="s">
        <v>597</v>
      </c>
      <c r="AJ15" s="158" t="s">
        <v>542</v>
      </c>
      <c r="AK15" s="158" t="s">
        <v>542</v>
      </c>
      <c r="AL15" s="158" t="s">
        <v>598</v>
      </c>
      <c r="AM15" s="158" t="s">
        <v>587</v>
      </c>
      <c r="AN15" s="158" t="s">
        <v>599</v>
      </c>
      <c r="AO15" s="158" t="s">
        <v>600</v>
      </c>
      <c r="AP15" s="158" t="s">
        <v>601</v>
      </c>
      <c r="AQ15" s="159">
        <v>45266</v>
      </c>
      <c r="AR15" s="160" t="s">
        <v>602</v>
      </c>
      <c r="AS15" s="161" t="s">
        <v>603</v>
      </c>
      <c r="AT15" s="162"/>
      <c r="AU15" s="163"/>
      <c r="AV15" s="164"/>
      <c r="AW15" s="162"/>
      <c r="AX15" s="160"/>
      <c r="AY15" s="161"/>
      <c r="AZ15" s="162"/>
      <c r="BA15" s="163"/>
      <c r="BB15" s="164"/>
      <c r="BC15" s="162"/>
      <c r="BD15" s="160"/>
      <c r="BE15" s="161"/>
      <c r="BF15" s="162"/>
      <c r="BG15" s="163"/>
      <c r="BH15" s="164"/>
      <c r="BI15" s="162"/>
      <c r="BJ15" s="160"/>
      <c r="BK15" s="161"/>
      <c r="BL15" s="162"/>
      <c r="BM15" s="163"/>
      <c r="BN15" s="164"/>
      <c r="BO15" s="162"/>
      <c r="BP15" s="160"/>
      <c r="BQ15" s="161"/>
      <c r="BR15" s="162"/>
      <c r="BS15" s="163"/>
      <c r="BT15" s="164"/>
      <c r="BU15" s="162"/>
      <c r="BV15" s="160"/>
      <c r="BW15" s="161"/>
      <c r="BX15" s="162"/>
      <c r="BY15" s="163"/>
      <c r="BZ15" s="165"/>
      <c r="CA15" s="2">
        <f t="shared" si="0"/>
        <v>33</v>
      </c>
      <c r="CB15" s="51" t="s">
        <v>497</v>
      </c>
      <c r="CC15" s="51" t="s">
        <v>498</v>
      </c>
      <c r="CD15" s="51" t="s">
        <v>436</v>
      </c>
      <c r="CE15" s="51" t="s">
        <v>452</v>
      </c>
      <c r="CF15" s="51" t="s">
        <v>432</v>
      </c>
      <c r="CG15" s="51" t="s">
        <v>432</v>
      </c>
      <c r="CH15" s="51" t="s">
        <v>448</v>
      </c>
      <c r="CI15" s="51" t="s">
        <v>432</v>
      </c>
      <c r="CJ15" s="51" t="s">
        <v>452</v>
      </c>
      <c r="CK15" s="51"/>
      <c r="CL15" s="51" t="s">
        <v>452</v>
      </c>
      <c r="CM15" s="51" t="s">
        <v>452</v>
      </c>
      <c r="CN15" s="51" t="s">
        <v>452</v>
      </c>
      <c r="CO15" s="51" t="s">
        <v>452</v>
      </c>
      <c r="CP15" s="51" t="s">
        <v>452</v>
      </c>
      <c r="CQ15" s="51" t="s">
        <v>452</v>
      </c>
      <c r="CR15" s="51" t="s">
        <v>464</v>
      </c>
      <c r="CS15" s="51" t="s">
        <v>452</v>
      </c>
      <c r="CT15" s="51"/>
      <c r="CU15" s="51"/>
      <c r="CV15" s="51"/>
      <c r="CW15" s="51"/>
      <c r="CX15" s="51" t="s">
        <v>452</v>
      </c>
      <c r="CZ15" s="153" t="str">
        <f t="shared" si="1"/>
        <v>Corrupción</v>
      </c>
      <c r="DA15" s="200" t="str">
        <f t="shared" si="2"/>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DB15" s="200"/>
      <c r="DC15" s="200"/>
      <c r="DD15" s="200"/>
      <c r="DE15" s="200"/>
      <c r="DF15" s="200"/>
      <c r="DG15" s="200"/>
      <c r="DH15" s="153" t="str">
        <f t="shared" si="3"/>
        <v>Alto</v>
      </c>
      <c r="DI15" s="153" t="str">
        <f t="shared" si="4"/>
        <v>Alto</v>
      </c>
      <c r="DK15" s="149" t="e">
        <f>SUM(LEN(#REF!)-LEN(SUBSTITUTE(#REF!,"- Preventivo","")))/LEN("- Preventivo")</f>
        <v>#REF!</v>
      </c>
      <c r="DL15" s="149" t="e">
        <f t="shared" si="5"/>
        <v>#REF!</v>
      </c>
      <c r="DM15" s="149" t="e">
        <f>SUM(LEN(#REF!)-LEN(SUBSTITUTE(#REF!,"- Detectivo","")))/LEN("- Detectivo")</f>
        <v>#REF!</v>
      </c>
      <c r="DN15" s="149" t="e">
        <f t="shared" si="6"/>
        <v>#REF!</v>
      </c>
      <c r="DO15" s="149" t="e">
        <f>SUM(LEN(#REF!)-LEN(SUBSTITUTE(#REF!,"- Correctivo","")))/LEN("- Correctivo")</f>
        <v>#REF!</v>
      </c>
      <c r="DP15" s="149" t="e">
        <f t="shared" si="7"/>
        <v>#REF!</v>
      </c>
      <c r="DQ15" s="149" t="e">
        <f t="shared" si="8"/>
        <v>#REF!</v>
      </c>
      <c r="DR15" s="149" t="e">
        <f t="shared" si="9"/>
        <v>#REF!</v>
      </c>
      <c r="DS15" s="149" t="e">
        <f>SUM(LEN(#REF!)-LEN(SUBSTITUTE(#REF!,"- Documentado","")))/LEN("- Documentado")</f>
        <v>#REF!</v>
      </c>
      <c r="DT15" s="149" t="e">
        <f>SUM(LEN(#REF!)-LEN(SUBSTITUTE(#REF!,"- Documentado","")))/LEN("- Documentado")</f>
        <v>#REF!</v>
      </c>
      <c r="DU15" s="149" t="e">
        <f t="shared" si="10"/>
        <v>#REF!</v>
      </c>
      <c r="DV15" s="149" t="e">
        <f>SUM(LEN(#REF!)-LEN(SUBSTITUTE(#REF!,"- Continua","")))/LEN("- Continua")</f>
        <v>#REF!</v>
      </c>
      <c r="DW15" s="149" t="e">
        <f>SUM(LEN(#REF!)-LEN(SUBSTITUTE(#REF!,"- Continua","")))/LEN("- Continua")</f>
        <v>#REF!</v>
      </c>
      <c r="DX15" s="149" t="e">
        <f t="shared" si="11"/>
        <v>#REF!</v>
      </c>
      <c r="DY15" s="149" t="e">
        <f>SUM(LEN(#REF!)-LEN(SUBSTITUTE(#REF!,"- Con registro","")))/LEN("- Con registro")</f>
        <v>#REF!</v>
      </c>
      <c r="DZ15" s="149" t="e">
        <f>SUM(LEN(#REF!)-LEN(SUBSTITUTE(#REF!,"- Con registro","")))/LEN("- Con registro")</f>
        <v>#REF!</v>
      </c>
      <c r="EA15" s="149" t="e">
        <f t="shared" si="12"/>
        <v>#REF!</v>
      </c>
      <c r="EB15" s="152" t="e">
        <f t="shared" si="13"/>
        <v>#REF!</v>
      </c>
      <c r="EC15" s="152" t="e">
        <f t="shared" si="14"/>
        <v>#REF!</v>
      </c>
      <c r="ED15" s="184" t="e">
        <f t="shared" si="15"/>
        <v>#REF!</v>
      </c>
      <c r="EE15" s="198" t="e">
        <f t="shared" si="16"/>
        <v>#REF!</v>
      </c>
      <c r="EF15" s="198"/>
      <c r="EG15" s="198"/>
      <c r="EH15" s="198"/>
      <c r="EI15" s="198"/>
      <c r="EJ15" s="198"/>
      <c r="EK15" s="198"/>
      <c r="EL15" s="198"/>
      <c r="EM15" s="198"/>
      <c r="EN15" s="198"/>
      <c r="EP15" s="172">
        <f t="shared" si="17"/>
        <v>45266</v>
      </c>
      <c r="EQ15" s="173">
        <f t="shared" si="18"/>
        <v>45320</v>
      </c>
      <c r="ER15" s="149" t="str">
        <f t="shared" si="19"/>
        <v>Riesgos</v>
      </c>
      <c r="ES15" s="149" t="str">
        <f t="shared" si="20"/>
        <v>ID_-: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ET15" s="149" t="str">
        <f t="shared" si="21"/>
        <v>Ajuste en Identificación del riesgo
Establecimiento de controles
Evaluación de controles
Tratamiento del riesgo en el Mapa de riesgos de Fortalecimiento de la Gestión Pública</v>
      </c>
      <c r="EU15" s="149" t="str">
        <f t="shared" si="22"/>
        <v>Solicitud de cambio realizada y aprobada por la Dirección Distrital de Archivo de Bogotá a través del Aplicativo DARUMA</v>
      </c>
    </row>
    <row r="16" spans="1:151" ht="399.95" customHeight="1" x14ac:dyDescent="0.2">
      <c r="A16" s="177" t="s">
        <v>397</v>
      </c>
      <c r="B16" s="158" t="s">
        <v>605</v>
      </c>
      <c r="C16" s="158" t="s">
        <v>606</v>
      </c>
      <c r="D16" s="177" t="s">
        <v>125</v>
      </c>
      <c r="E16" s="178" t="s">
        <v>398</v>
      </c>
      <c r="F16" s="158" t="s">
        <v>607</v>
      </c>
      <c r="G16" s="178" t="s">
        <v>542</v>
      </c>
      <c r="H16" s="178" t="s">
        <v>542</v>
      </c>
      <c r="I16" s="154" t="s">
        <v>617</v>
      </c>
      <c r="J16" s="177" t="s">
        <v>63</v>
      </c>
      <c r="K16" s="178" t="s">
        <v>326</v>
      </c>
      <c r="L16" s="158" t="s">
        <v>256</v>
      </c>
      <c r="M16" s="164" t="s">
        <v>335</v>
      </c>
      <c r="N16" s="158" t="s">
        <v>334</v>
      </c>
      <c r="O16" s="158" t="s">
        <v>333</v>
      </c>
      <c r="P16" s="158" t="s">
        <v>330</v>
      </c>
      <c r="Q16" s="158" t="s">
        <v>325</v>
      </c>
      <c r="R16" s="158" t="s">
        <v>331</v>
      </c>
      <c r="S16" s="158" t="s">
        <v>427</v>
      </c>
      <c r="T16" s="158" t="s">
        <v>608</v>
      </c>
      <c r="U16" s="179" t="s">
        <v>311</v>
      </c>
      <c r="V16" s="180">
        <v>0.2</v>
      </c>
      <c r="W16" s="179" t="s">
        <v>51</v>
      </c>
      <c r="X16" s="180">
        <v>1</v>
      </c>
      <c r="Y16" s="66" t="s">
        <v>271</v>
      </c>
      <c r="Z16" s="158" t="s">
        <v>618</v>
      </c>
      <c r="AA16" s="179" t="s">
        <v>311</v>
      </c>
      <c r="AB16" s="182">
        <v>5.04E-2</v>
      </c>
      <c r="AC16" s="179" t="s">
        <v>51</v>
      </c>
      <c r="AD16" s="182">
        <v>1</v>
      </c>
      <c r="AE16" s="66" t="s">
        <v>271</v>
      </c>
      <c r="AF16" s="158" t="s">
        <v>619</v>
      </c>
      <c r="AG16" s="177" t="s">
        <v>328</v>
      </c>
      <c r="AH16" s="181" t="s">
        <v>609</v>
      </c>
      <c r="AI16" s="181" t="s">
        <v>610</v>
      </c>
      <c r="AJ16" s="181" t="s">
        <v>542</v>
      </c>
      <c r="AK16" s="181" t="s">
        <v>542</v>
      </c>
      <c r="AL16" s="181" t="s">
        <v>598</v>
      </c>
      <c r="AM16" s="181" t="s">
        <v>633</v>
      </c>
      <c r="AN16" s="158" t="s">
        <v>620</v>
      </c>
      <c r="AO16" s="158" t="s">
        <v>612</v>
      </c>
      <c r="AP16" s="158" t="s">
        <v>621</v>
      </c>
      <c r="AQ16" s="159">
        <v>45266</v>
      </c>
      <c r="AR16" s="160" t="s">
        <v>343</v>
      </c>
      <c r="AS16" s="161" t="s">
        <v>611</v>
      </c>
      <c r="AT16" s="162"/>
      <c r="AU16" s="163"/>
      <c r="AV16" s="164"/>
      <c r="AW16" s="162"/>
      <c r="AX16" s="160"/>
      <c r="AY16" s="161"/>
      <c r="AZ16" s="162"/>
      <c r="BA16" s="163"/>
      <c r="BB16" s="164"/>
      <c r="BC16" s="162"/>
      <c r="BD16" s="160"/>
      <c r="BE16" s="161"/>
      <c r="BF16" s="162"/>
      <c r="BG16" s="163"/>
      <c r="BH16" s="164"/>
      <c r="BI16" s="162"/>
      <c r="BJ16" s="160"/>
      <c r="BK16" s="161"/>
      <c r="BL16" s="162"/>
      <c r="BM16" s="163"/>
      <c r="BN16" s="164"/>
      <c r="BO16" s="162"/>
      <c r="BP16" s="160"/>
      <c r="BQ16" s="161"/>
      <c r="BR16" s="162"/>
      <c r="BS16" s="163"/>
      <c r="BT16" s="164"/>
      <c r="BU16" s="162"/>
      <c r="BV16" s="160"/>
      <c r="BW16" s="161"/>
      <c r="BX16" s="162"/>
      <c r="BY16" s="163"/>
      <c r="BZ16" s="165"/>
      <c r="CA16" s="2">
        <f t="shared" si="0"/>
        <v>33</v>
      </c>
      <c r="CB16" s="51" t="s">
        <v>552</v>
      </c>
      <c r="CC16" s="51" t="s">
        <v>485</v>
      </c>
      <c r="CD16" s="51" t="s">
        <v>437</v>
      </c>
      <c r="CE16" s="51" t="s">
        <v>452</v>
      </c>
      <c r="CF16" s="51" t="s">
        <v>432</v>
      </c>
      <c r="CG16" s="51" t="s">
        <v>432</v>
      </c>
      <c r="CH16" s="51" t="s">
        <v>448</v>
      </c>
      <c r="CI16" s="51" t="s">
        <v>432</v>
      </c>
      <c r="CJ16" s="51" t="s">
        <v>452</v>
      </c>
      <c r="CK16" s="51"/>
      <c r="CL16" s="51" t="s">
        <v>452</v>
      </c>
      <c r="CM16" s="51" t="s">
        <v>457</v>
      </c>
      <c r="CN16" s="51" t="s">
        <v>452</v>
      </c>
      <c r="CO16" s="51" t="s">
        <v>452</v>
      </c>
      <c r="CP16" s="51" t="s">
        <v>452</v>
      </c>
      <c r="CQ16" s="51" t="s">
        <v>452</v>
      </c>
      <c r="CR16" s="51" t="s">
        <v>467</v>
      </c>
      <c r="CS16" s="51" t="s">
        <v>452</v>
      </c>
      <c r="CT16" s="51" t="s">
        <v>452</v>
      </c>
      <c r="CU16" s="51" t="s">
        <v>452</v>
      </c>
      <c r="CV16" s="51" t="s">
        <v>452</v>
      </c>
      <c r="CW16" s="51" t="s">
        <v>452</v>
      </c>
      <c r="CX16" s="51" t="s">
        <v>452</v>
      </c>
      <c r="CZ16" s="153" t="str">
        <f t="shared" si="1"/>
        <v>Corrupción</v>
      </c>
      <c r="DA16" s="200" t="str">
        <f t="shared" si="2"/>
        <v xml:space="preserve">Posibilidad de afectación reputacional por pérdida de la confianza ciudadana en la gestión contractual de la Entidad, debido a decisiones ajustadas a intereses propios o de terceros durante la etapa precontractual con el fin de celebrar un contrato </v>
      </c>
      <c r="DB16" s="200"/>
      <c r="DC16" s="200"/>
      <c r="DD16" s="200"/>
      <c r="DE16" s="200"/>
      <c r="DF16" s="200"/>
      <c r="DG16" s="200"/>
      <c r="DH16" s="153" t="str">
        <f t="shared" si="3"/>
        <v>Extremo</v>
      </c>
      <c r="DI16" s="153" t="str">
        <f t="shared" si="4"/>
        <v>Extremo</v>
      </c>
      <c r="DK16" s="149" t="e">
        <f>SUM(LEN(#REF!)-LEN(SUBSTITUTE(#REF!,"- Preventivo","")))/LEN("- Preventivo")</f>
        <v>#REF!</v>
      </c>
      <c r="DL16" s="149" t="e">
        <f t="shared" si="5"/>
        <v>#REF!</v>
      </c>
      <c r="DM16" s="149" t="e">
        <f>SUM(LEN(#REF!)-LEN(SUBSTITUTE(#REF!,"- Detectivo","")))/LEN("- Detectivo")</f>
        <v>#REF!</v>
      </c>
      <c r="DN16" s="149" t="e">
        <f t="shared" si="6"/>
        <v>#REF!</v>
      </c>
      <c r="DO16" s="149" t="e">
        <f>SUM(LEN(#REF!)-LEN(SUBSTITUTE(#REF!,"- Correctivo","")))/LEN("- Correctivo")</f>
        <v>#REF!</v>
      </c>
      <c r="DP16" s="149" t="e">
        <f t="shared" si="7"/>
        <v>#REF!</v>
      </c>
      <c r="DQ16" s="149" t="e">
        <f t="shared" si="8"/>
        <v>#REF!</v>
      </c>
      <c r="DR16" s="149" t="e">
        <f t="shared" si="9"/>
        <v>#REF!</v>
      </c>
      <c r="DS16" s="149" t="e">
        <f>SUM(LEN(#REF!)-LEN(SUBSTITUTE(#REF!,"- Documentado","")))/LEN("- Documentado")</f>
        <v>#REF!</v>
      </c>
      <c r="DT16" s="149" t="e">
        <f>SUM(LEN(#REF!)-LEN(SUBSTITUTE(#REF!,"- Documentado","")))/LEN("- Documentado")</f>
        <v>#REF!</v>
      </c>
      <c r="DU16" s="149" t="e">
        <f t="shared" si="10"/>
        <v>#REF!</v>
      </c>
      <c r="DV16" s="149" t="e">
        <f>SUM(LEN(#REF!)-LEN(SUBSTITUTE(#REF!,"- Continua","")))/LEN("- Continua")</f>
        <v>#REF!</v>
      </c>
      <c r="DW16" s="149" t="e">
        <f>SUM(LEN(#REF!)-LEN(SUBSTITUTE(#REF!,"- Continua","")))/LEN("- Continua")</f>
        <v>#REF!</v>
      </c>
      <c r="DX16" s="149" t="e">
        <f t="shared" si="11"/>
        <v>#REF!</v>
      </c>
      <c r="DY16" s="149" t="e">
        <f>SUM(LEN(#REF!)-LEN(SUBSTITUTE(#REF!,"- Con registro","")))/LEN("- Con registro")</f>
        <v>#REF!</v>
      </c>
      <c r="DZ16" s="149" t="e">
        <f>SUM(LEN(#REF!)-LEN(SUBSTITUTE(#REF!,"- Con registro","")))/LEN("- Con registro")</f>
        <v>#REF!</v>
      </c>
      <c r="EA16" s="149" t="e">
        <f t="shared" si="12"/>
        <v>#REF!</v>
      </c>
      <c r="EB16" s="152" t="e">
        <f t="shared" si="13"/>
        <v>#REF!</v>
      </c>
      <c r="EC16" s="152" t="e">
        <f t="shared" si="14"/>
        <v>#REF!</v>
      </c>
      <c r="ED16" s="184" t="e">
        <f t="shared" si="15"/>
        <v>#REF!</v>
      </c>
      <c r="EE16" s="198" t="e">
        <f t="shared" si="16"/>
        <v>#REF!</v>
      </c>
      <c r="EF16" s="198"/>
      <c r="EG16" s="198"/>
      <c r="EH16" s="198"/>
      <c r="EI16" s="198"/>
      <c r="EJ16" s="198"/>
      <c r="EK16" s="198"/>
      <c r="EL16" s="198"/>
      <c r="EM16" s="198"/>
      <c r="EN16" s="198"/>
      <c r="EP16" s="172">
        <f t="shared" si="17"/>
        <v>45266</v>
      </c>
      <c r="EQ16" s="173">
        <f t="shared" si="18"/>
        <v>45320</v>
      </c>
      <c r="ER16" s="149" t="str">
        <f t="shared" si="19"/>
        <v>Riesgos</v>
      </c>
      <c r="ES16" s="149" t="str">
        <f t="shared" si="20"/>
        <v xml:space="preserve">ID_-: Posibilidad de afectación reputacional por pérdida de la confianza ciudadana en la gestión contractual de la Entidad, debido a decisiones ajustadas a intereses propios o de terceros durante la etapa precontractual con el fin de celebrar un contrato </v>
      </c>
      <c r="ET16" s="149" t="str">
        <f t="shared" si="21"/>
        <v>Ajuste en 
Análisis antes de controles
Tratamiento del riesgo en el Mapa de riesgos de Gestión de Contratación</v>
      </c>
      <c r="EU16" s="149" t="str">
        <f t="shared" si="22"/>
        <v>Solicitud de cambio realizada y aprobada por la Dirección de Contratación a través del Aplicativo DARUMA</v>
      </c>
    </row>
    <row r="17" spans="1:151" ht="399.95" customHeight="1" x14ac:dyDescent="0.2">
      <c r="A17" s="177" t="s">
        <v>397</v>
      </c>
      <c r="B17" s="158" t="s">
        <v>605</v>
      </c>
      <c r="C17" s="158" t="s">
        <v>606</v>
      </c>
      <c r="D17" s="177" t="s">
        <v>125</v>
      </c>
      <c r="E17" s="178" t="s">
        <v>398</v>
      </c>
      <c r="F17" s="158" t="s">
        <v>399</v>
      </c>
      <c r="G17" s="178" t="s">
        <v>542</v>
      </c>
      <c r="H17" s="178" t="s">
        <v>542</v>
      </c>
      <c r="I17" s="154" t="s">
        <v>622</v>
      </c>
      <c r="J17" s="177" t="s">
        <v>63</v>
      </c>
      <c r="K17" s="178" t="s">
        <v>326</v>
      </c>
      <c r="L17" s="158" t="s">
        <v>256</v>
      </c>
      <c r="M17" s="164" t="s">
        <v>337</v>
      </c>
      <c r="N17" s="158" t="s">
        <v>334</v>
      </c>
      <c r="O17" s="158" t="s">
        <v>338</v>
      </c>
      <c r="P17" s="158" t="s">
        <v>330</v>
      </c>
      <c r="Q17" s="158" t="s">
        <v>325</v>
      </c>
      <c r="R17" s="158" t="s">
        <v>331</v>
      </c>
      <c r="S17" s="158" t="s">
        <v>426</v>
      </c>
      <c r="T17" s="158" t="s">
        <v>561</v>
      </c>
      <c r="U17" s="179" t="s">
        <v>311</v>
      </c>
      <c r="V17" s="180">
        <v>0.2</v>
      </c>
      <c r="W17" s="179" t="s">
        <v>51</v>
      </c>
      <c r="X17" s="180">
        <v>1</v>
      </c>
      <c r="Y17" s="66" t="s">
        <v>271</v>
      </c>
      <c r="Z17" s="158" t="s">
        <v>618</v>
      </c>
      <c r="AA17" s="179" t="s">
        <v>311</v>
      </c>
      <c r="AB17" s="182">
        <v>8.3999999999999991E-2</v>
      </c>
      <c r="AC17" s="179" t="s">
        <v>51</v>
      </c>
      <c r="AD17" s="182">
        <v>1</v>
      </c>
      <c r="AE17" s="66" t="s">
        <v>271</v>
      </c>
      <c r="AF17" s="158" t="s">
        <v>619</v>
      </c>
      <c r="AG17" s="177" t="s">
        <v>328</v>
      </c>
      <c r="AH17" s="181" t="s">
        <v>613</v>
      </c>
      <c r="AI17" s="181" t="s">
        <v>614</v>
      </c>
      <c r="AJ17" s="158" t="s">
        <v>542</v>
      </c>
      <c r="AK17" s="181" t="s">
        <v>542</v>
      </c>
      <c r="AL17" s="181" t="s">
        <v>615</v>
      </c>
      <c r="AM17" s="181" t="s">
        <v>616</v>
      </c>
      <c r="AN17" s="158" t="s">
        <v>623</v>
      </c>
      <c r="AO17" s="158" t="s">
        <v>612</v>
      </c>
      <c r="AP17" s="158" t="s">
        <v>624</v>
      </c>
      <c r="AQ17" s="159">
        <v>45266</v>
      </c>
      <c r="AR17" s="160" t="s">
        <v>343</v>
      </c>
      <c r="AS17" s="161" t="s">
        <v>611</v>
      </c>
      <c r="AT17" s="162"/>
      <c r="AU17" s="163"/>
      <c r="AV17" s="164"/>
      <c r="AW17" s="162"/>
      <c r="AX17" s="160"/>
      <c r="AY17" s="161"/>
      <c r="AZ17" s="162"/>
      <c r="BA17" s="163"/>
      <c r="BB17" s="164"/>
      <c r="BC17" s="162"/>
      <c r="BD17" s="160"/>
      <c r="BE17" s="161"/>
      <c r="BF17" s="162"/>
      <c r="BG17" s="163"/>
      <c r="BH17" s="164"/>
      <c r="BI17" s="162"/>
      <c r="BJ17" s="160"/>
      <c r="BK17" s="161"/>
      <c r="BL17" s="162"/>
      <c r="BM17" s="163"/>
      <c r="BN17" s="164"/>
      <c r="BO17" s="162"/>
      <c r="BP17" s="160"/>
      <c r="BQ17" s="161"/>
      <c r="BR17" s="162"/>
      <c r="BS17" s="163"/>
      <c r="BT17" s="164"/>
      <c r="BU17" s="162"/>
      <c r="BV17" s="160"/>
      <c r="BW17" s="161"/>
      <c r="BX17" s="162"/>
      <c r="BY17" s="163"/>
      <c r="BZ17" s="165"/>
      <c r="CA17" s="2">
        <f t="shared" si="0"/>
        <v>33</v>
      </c>
      <c r="CB17" s="51" t="s">
        <v>552</v>
      </c>
      <c r="CC17" s="51" t="s">
        <v>485</v>
      </c>
      <c r="CD17" s="51" t="s">
        <v>437</v>
      </c>
      <c r="CE17" s="51" t="s">
        <v>452</v>
      </c>
      <c r="CF17" s="51" t="s">
        <v>432</v>
      </c>
      <c r="CG17" s="51" t="s">
        <v>432</v>
      </c>
      <c r="CH17" s="51" t="s">
        <v>448</v>
      </c>
      <c r="CI17" s="51" t="s">
        <v>432</v>
      </c>
      <c r="CJ17" s="51" t="s">
        <v>452</v>
      </c>
      <c r="CK17" s="51"/>
      <c r="CL17" s="51" t="s">
        <v>452</v>
      </c>
      <c r="CM17" s="51" t="s">
        <v>457</v>
      </c>
      <c r="CN17" s="51" t="s">
        <v>452</v>
      </c>
      <c r="CO17" s="51" t="s">
        <v>452</v>
      </c>
      <c r="CP17" s="51" t="s">
        <v>452</v>
      </c>
      <c r="CQ17" s="51" t="s">
        <v>452</v>
      </c>
      <c r="CR17" s="51" t="s">
        <v>466</v>
      </c>
      <c r="CS17" s="51" t="s">
        <v>452</v>
      </c>
      <c r="CT17" s="51" t="s">
        <v>452</v>
      </c>
      <c r="CU17" s="51" t="s">
        <v>452</v>
      </c>
      <c r="CV17" s="51" t="s">
        <v>452</v>
      </c>
      <c r="CW17" s="51" t="s">
        <v>452</v>
      </c>
      <c r="CX17" s="51" t="s">
        <v>452</v>
      </c>
      <c r="CZ17" s="153" t="str">
        <f t="shared" si="1"/>
        <v>Corrupción</v>
      </c>
      <c r="DA17" s="200" t="str">
        <f t="shared" si="2"/>
        <v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DB17" s="200"/>
      <c r="DC17" s="200"/>
      <c r="DD17" s="200"/>
      <c r="DE17" s="200"/>
      <c r="DF17" s="200"/>
      <c r="DG17" s="200"/>
      <c r="DH17" s="153" t="str">
        <f t="shared" si="3"/>
        <v>Extremo</v>
      </c>
      <c r="DI17" s="153" t="str">
        <f t="shared" si="4"/>
        <v>Extremo</v>
      </c>
      <c r="DK17" s="149" t="e">
        <f>SUM(LEN(#REF!)-LEN(SUBSTITUTE(#REF!,"- Preventivo","")))/LEN("- Preventivo")</f>
        <v>#REF!</v>
      </c>
      <c r="DL17" s="149" t="e">
        <f t="shared" si="5"/>
        <v>#REF!</v>
      </c>
      <c r="DM17" s="149" t="e">
        <f>SUM(LEN(#REF!)-LEN(SUBSTITUTE(#REF!,"- Detectivo","")))/LEN("- Detectivo")</f>
        <v>#REF!</v>
      </c>
      <c r="DN17" s="149" t="e">
        <f t="shared" si="6"/>
        <v>#REF!</v>
      </c>
      <c r="DO17" s="149" t="e">
        <f>SUM(LEN(#REF!)-LEN(SUBSTITUTE(#REF!,"- Correctivo","")))/LEN("- Correctivo")</f>
        <v>#REF!</v>
      </c>
      <c r="DP17" s="149" t="e">
        <f t="shared" si="7"/>
        <v>#REF!</v>
      </c>
      <c r="DQ17" s="149" t="e">
        <f t="shared" si="8"/>
        <v>#REF!</v>
      </c>
      <c r="DR17" s="149" t="e">
        <f t="shared" si="9"/>
        <v>#REF!</v>
      </c>
      <c r="DS17" s="149" t="e">
        <f>SUM(LEN(#REF!)-LEN(SUBSTITUTE(#REF!,"- Documentado","")))/LEN("- Documentado")</f>
        <v>#REF!</v>
      </c>
      <c r="DT17" s="149" t="e">
        <f>SUM(LEN(#REF!)-LEN(SUBSTITUTE(#REF!,"- Documentado","")))/LEN("- Documentado")</f>
        <v>#REF!</v>
      </c>
      <c r="DU17" s="149" t="e">
        <f t="shared" si="10"/>
        <v>#REF!</v>
      </c>
      <c r="DV17" s="149" t="e">
        <f>SUM(LEN(#REF!)-LEN(SUBSTITUTE(#REF!,"- Continua","")))/LEN("- Continua")</f>
        <v>#REF!</v>
      </c>
      <c r="DW17" s="149" t="e">
        <f>SUM(LEN(#REF!)-LEN(SUBSTITUTE(#REF!,"- Continua","")))/LEN("- Continua")</f>
        <v>#REF!</v>
      </c>
      <c r="DX17" s="149" t="e">
        <f t="shared" si="11"/>
        <v>#REF!</v>
      </c>
      <c r="DY17" s="149" t="e">
        <f>SUM(LEN(#REF!)-LEN(SUBSTITUTE(#REF!,"- Con registro","")))/LEN("- Con registro")</f>
        <v>#REF!</v>
      </c>
      <c r="DZ17" s="149" t="e">
        <f>SUM(LEN(#REF!)-LEN(SUBSTITUTE(#REF!,"- Con registro","")))/LEN("- Con registro")</f>
        <v>#REF!</v>
      </c>
      <c r="EA17" s="149" t="e">
        <f t="shared" si="12"/>
        <v>#REF!</v>
      </c>
      <c r="EB17" s="152" t="e">
        <f t="shared" si="13"/>
        <v>#REF!</v>
      </c>
      <c r="EC17" s="152" t="e">
        <f t="shared" si="14"/>
        <v>#REF!</v>
      </c>
      <c r="ED17" s="184" t="e">
        <f t="shared" si="15"/>
        <v>#REF!</v>
      </c>
      <c r="EE17" s="198" t="e">
        <f t="shared" si="16"/>
        <v>#REF!</v>
      </c>
      <c r="EF17" s="198"/>
      <c r="EG17" s="198"/>
      <c r="EH17" s="198"/>
      <c r="EI17" s="198"/>
      <c r="EJ17" s="198"/>
      <c r="EK17" s="198"/>
      <c r="EL17" s="198"/>
      <c r="EM17" s="198"/>
      <c r="EN17" s="198"/>
      <c r="EP17" s="172">
        <f t="shared" si="17"/>
        <v>45266</v>
      </c>
      <c r="EQ17" s="173">
        <f t="shared" si="18"/>
        <v>45320</v>
      </c>
      <c r="ER17" s="149" t="str">
        <f t="shared" si="19"/>
        <v>Riesgos</v>
      </c>
      <c r="ES17" s="149" t="str">
        <f t="shared" si="20"/>
        <v xml:space="preserve">ID_-: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ET17" s="149" t="str">
        <f t="shared" si="21"/>
        <v>Ajuste en 
Análisis antes de controles
Tratamiento del riesgo en el Mapa de riesgos de Gestión de Contratación</v>
      </c>
      <c r="EU17" s="149" t="str">
        <f t="shared" si="22"/>
        <v>Solicitud de cambio realizada y aprobada por la Dirección de Contratación a través del Aplicativo DARUMA</v>
      </c>
    </row>
    <row r="18" spans="1:151" ht="399.95" customHeight="1" x14ac:dyDescent="0.2">
      <c r="A18" s="177" t="s">
        <v>190</v>
      </c>
      <c r="B18" s="158" t="s">
        <v>625</v>
      </c>
      <c r="C18" s="158" t="s">
        <v>400</v>
      </c>
      <c r="D18" s="177" t="s">
        <v>626</v>
      </c>
      <c r="E18" s="178" t="s">
        <v>398</v>
      </c>
      <c r="F18" s="158" t="s">
        <v>629</v>
      </c>
      <c r="G18" s="178" t="s">
        <v>542</v>
      </c>
      <c r="H18" s="178" t="s">
        <v>542</v>
      </c>
      <c r="I18" s="154" t="s">
        <v>348</v>
      </c>
      <c r="J18" s="177" t="s">
        <v>63</v>
      </c>
      <c r="K18" s="178" t="s">
        <v>326</v>
      </c>
      <c r="L18" s="158" t="s">
        <v>258</v>
      </c>
      <c r="M18" s="164" t="s">
        <v>349</v>
      </c>
      <c r="N18" s="158" t="s">
        <v>350</v>
      </c>
      <c r="O18" s="158" t="s">
        <v>351</v>
      </c>
      <c r="P18" s="158" t="s">
        <v>330</v>
      </c>
      <c r="Q18" s="158" t="s">
        <v>325</v>
      </c>
      <c r="R18" s="158" t="s">
        <v>327</v>
      </c>
      <c r="S18" s="158" t="s">
        <v>426</v>
      </c>
      <c r="T18" s="158" t="s">
        <v>561</v>
      </c>
      <c r="U18" s="179" t="s">
        <v>311</v>
      </c>
      <c r="V18" s="180">
        <v>0.2</v>
      </c>
      <c r="W18" s="179" t="s">
        <v>77</v>
      </c>
      <c r="X18" s="180">
        <v>0.8</v>
      </c>
      <c r="Y18" s="66" t="s">
        <v>270</v>
      </c>
      <c r="Z18" s="158" t="s">
        <v>340</v>
      </c>
      <c r="AA18" s="179" t="s">
        <v>311</v>
      </c>
      <c r="AB18" s="182">
        <v>1.48176E-2</v>
      </c>
      <c r="AC18" s="179" t="s">
        <v>77</v>
      </c>
      <c r="AD18" s="182">
        <v>0.8</v>
      </c>
      <c r="AE18" s="66" t="s">
        <v>270</v>
      </c>
      <c r="AF18" s="158" t="s">
        <v>630</v>
      </c>
      <c r="AG18" s="177" t="s">
        <v>328</v>
      </c>
      <c r="AH18" s="181" t="s">
        <v>631</v>
      </c>
      <c r="AI18" s="181" t="s">
        <v>632</v>
      </c>
      <c r="AJ18" s="158" t="s">
        <v>542</v>
      </c>
      <c r="AK18" s="181" t="s">
        <v>542</v>
      </c>
      <c r="AL18" s="181" t="s">
        <v>598</v>
      </c>
      <c r="AM18" s="181" t="s">
        <v>633</v>
      </c>
      <c r="AN18" s="158" t="s">
        <v>634</v>
      </c>
      <c r="AO18" s="158" t="s">
        <v>628</v>
      </c>
      <c r="AP18" s="158" t="s">
        <v>635</v>
      </c>
      <c r="AQ18" s="159">
        <v>45267</v>
      </c>
      <c r="AR18" s="160" t="s">
        <v>343</v>
      </c>
      <c r="AS18" s="161" t="s">
        <v>636</v>
      </c>
      <c r="AT18" s="162"/>
      <c r="AU18" s="163"/>
      <c r="AV18" s="164"/>
      <c r="AW18" s="162"/>
      <c r="AX18" s="160"/>
      <c r="AY18" s="161"/>
      <c r="AZ18" s="162"/>
      <c r="BA18" s="163"/>
      <c r="BB18" s="164"/>
      <c r="BC18" s="162"/>
      <c r="BD18" s="160"/>
      <c r="BE18" s="161"/>
      <c r="BF18" s="162"/>
      <c r="BG18" s="163"/>
      <c r="BH18" s="164"/>
      <c r="BI18" s="162"/>
      <c r="BJ18" s="160"/>
      <c r="BK18" s="161"/>
      <c r="BL18" s="162"/>
      <c r="BM18" s="163"/>
      <c r="BN18" s="164"/>
      <c r="BO18" s="162"/>
      <c r="BP18" s="160"/>
      <c r="BQ18" s="161"/>
      <c r="BR18" s="162"/>
      <c r="BS18" s="163"/>
      <c r="BT18" s="164"/>
      <c r="BU18" s="162"/>
      <c r="BV18" s="160"/>
      <c r="BW18" s="161"/>
      <c r="BX18" s="162"/>
      <c r="BY18" s="163"/>
      <c r="BZ18" s="165"/>
      <c r="CA18" s="2">
        <f t="shared" si="0"/>
        <v>33</v>
      </c>
      <c r="CB18" s="51"/>
      <c r="CC18" s="51" t="s">
        <v>553</v>
      </c>
      <c r="CD18" s="51" t="s">
        <v>438</v>
      </c>
      <c r="CE18" s="51" t="s">
        <v>434</v>
      </c>
      <c r="CF18" s="51" t="s">
        <v>432</v>
      </c>
      <c r="CG18" s="51" t="s">
        <v>432</v>
      </c>
      <c r="CH18" s="51" t="s">
        <v>448</v>
      </c>
      <c r="CI18" s="51" t="s">
        <v>432</v>
      </c>
      <c r="CJ18" s="51" t="s">
        <v>452</v>
      </c>
      <c r="CK18" s="51"/>
      <c r="CL18" s="51" t="s">
        <v>452</v>
      </c>
      <c r="CM18" s="51" t="s">
        <v>457</v>
      </c>
      <c r="CN18" s="51" t="s">
        <v>452</v>
      </c>
      <c r="CO18" s="51" t="s">
        <v>452</v>
      </c>
      <c r="CP18" s="51" t="s">
        <v>452</v>
      </c>
      <c r="CQ18" s="51" t="s">
        <v>452</v>
      </c>
      <c r="CR18" s="51" t="s">
        <v>468</v>
      </c>
      <c r="CS18" s="51" t="s">
        <v>452</v>
      </c>
      <c r="CT18" s="51" t="s">
        <v>452</v>
      </c>
      <c r="CU18" s="51" t="s">
        <v>452</v>
      </c>
      <c r="CV18" s="51" t="s">
        <v>452</v>
      </c>
      <c r="CW18" s="51" t="s">
        <v>452</v>
      </c>
      <c r="CX18" s="51" t="s">
        <v>452</v>
      </c>
      <c r="CZ18" s="153" t="str">
        <f t="shared" si="1"/>
        <v>Corrupción</v>
      </c>
      <c r="DA18" s="200" t="str">
        <f t="shared" si="2"/>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200"/>
      <c r="DC18" s="200"/>
      <c r="DD18" s="200"/>
      <c r="DE18" s="200"/>
      <c r="DF18" s="200"/>
      <c r="DG18" s="200"/>
      <c r="DH18" s="153" t="str">
        <f t="shared" si="3"/>
        <v>Alto</v>
      </c>
      <c r="DI18" s="153" t="str">
        <f t="shared" si="4"/>
        <v>Alto</v>
      </c>
      <c r="DK18" s="149" t="e">
        <f>SUM(LEN(#REF!)-LEN(SUBSTITUTE(#REF!,"- Preventivo","")))/LEN("- Preventivo")</f>
        <v>#REF!</v>
      </c>
      <c r="DL18" s="149" t="e">
        <f t="shared" si="5"/>
        <v>#REF!</v>
      </c>
      <c r="DM18" s="149" t="e">
        <f>SUM(LEN(#REF!)-LEN(SUBSTITUTE(#REF!,"- Detectivo","")))/LEN("- Detectivo")</f>
        <v>#REF!</v>
      </c>
      <c r="DN18" s="149" t="e">
        <f t="shared" si="6"/>
        <v>#REF!</v>
      </c>
      <c r="DO18" s="149" t="e">
        <f>SUM(LEN(#REF!)-LEN(SUBSTITUTE(#REF!,"- Correctivo","")))/LEN("- Correctivo")</f>
        <v>#REF!</v>
      </c>
      <c r="DP18" s="149" t="e">
        <f t="shared" si="7"/>
        <v>#REF!</v>
      </c>
      <c r="DQ18" s="149" t="e">
        <f t="shared" si="8"/>
        <v>#REF!</v>
      </c>
      <c r="DR18" s="149" t="e">
        <f t="shared" si="9"/>
        <v>#REF!</v>
      </c>
      <c r="DS18" s="149" t="e">
        <f>SUM(LEN(#REF!)-LEN(SUBSTITUTE(#REF!,"- Documentado","")))/LEN("- Documentado")</f>
        <v>#REF!</v>
      </c>
      <c r="DT18" s="149" t="e">
        <f>SUM(LEN(#REF!)-LEN(SUBSTITUTE(#REF!,"- Documentado","")))/LEN("- Documentado")</f>
        <v>#REF!</v>
      </c>
      <c r="DU18" s="149" t="e">
        <f t="shared" si="10"/>
        <v>#REF!</v>
      </c>
      <c r="DV18" s="149" t="e">
        <f>SUM(LEN(#REF!)-LEN(SUBSTITUTE(#REF!,"- Continua","")))/LEN("- Continua")</f>
        <v>#REF!</v>
      </c>
      <c r="DW18" s="149" t="e">
        <f>SUM(LEN(#REF!)-LEN(SUBSTITUTE(#REF!,"- Continua","")))/LEN("- Continua")</f>
        <v>#REF!</v>
      </c>
      <c r="DX18" s="149" t="e">
        <f t="shared" si="11"/>
        <v>#REF!</v>
      </c>
      <c r="DY18" s="149" t="e">
        <f>SUM(LEN(#REF!)-LEN(SUBSTITUTE(#REF!,"- Con registro","")))/LEN("- Con registro")</f>
        <v>#REF!</v>
      </c>
      <c r="DZ18" s="149" t="e">
        <f>SUM(LEN(#REF!)-LEN(SUBSTITUTE(#REF!,"- Con registro","")))/LEN("- Con registro")</f>
        <v>#REF!</v>
      </c>
      <c r="EA18" s="149" t="e">
        <f t="shared" si="12"/>
        <v>#REF!</v>
      </c>
      <c r="EB18" s="152" t="e">
        <f t="shared" si="13"/>
        <v>#REF!</v>
      </c>
      <c r="EC18" s="152" t="e">
        <f t="shared" si="14"/>
        <v>#REF!</v>
      </c>
      <c r="ED18" s="184" t="e">
        <f t="shared" si="15"/>
        <v>#REF!</v>
      </c>
      <c r="EE18" s="198" t="e">
        <f t="shared" si="16"/>
        <v>#REF!</v>
      </c>
      <c r="EF18" s="198"/>
      <c r="EG18" s="198"/>
      <c r="EH18" s="198"/>
      <c r="EI18" s="198"/>
      <c r="EJ18" s="198"/>
      <c r="EK18" s="198"/>
      <c r="EL18" s="198"/>
      <c r="EM18" s="198"/>
      <c r="EN18" s="198"/>
      <c r="EP18" s="172">
        <f t="shared" si="17"/>
        <v>45267</v>
      </c>
      <c r="EQ18" s="173">
        <f t="shared" si="18"/>
        <v>45320</v>
      </c>
      <c r="ER18" s="149" t="str">
        <f t="shared" si="19"/>
        <v>Riesgos</v>
      </c>
      <c r="ES18" s="149" t="str">
        <f t="shared" si="20"/>
        <v>ID_-: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ET18" s="149" t="str">
        <f t="shared" si="21"/>
        <v>Ajuste en 
Análisis antes de controles
Tratamiento del riesgo en el Mapa de riesgos de Gestión de Recursos Físicos</v>
      </c>
      <c r="EU18" s="149" t="str">
        <f t="shared" si="22"/>
        <v>Solicitud de cambio realizada y aprobada por la Subdirección de Servicios Administrativos a través del Aplicativo DARUMA</v>
      </c>
    </row>
    <row r="19" spans="1:151" ht="399.95" customHeight="1" x14ac:dyDescent="0.2">
      <c r="A19" s="177" t="s">
        <v>190</v>
      </c>
      <c r="B19" s="158" t="s">
        <v>625</v>
      </c>
      <c r="C19" s="158" t="s">
        <v>400</v>
      </c>
      <c r="D19" s="177" t="s">
        <v>626</v>
      </c>
      <c r="E19" s="178" t="s">
        <v>398</v>
      </c>
      <c r="F19" s="158" t="s">
        <v>637</v>
      </c>
      <c r="G19" s="178" t="s">
        <v>542</v>
      </c>
      <c r="H19" s="178" t="s">
        <v>542</v>
      </c>
      <c r="I19" s="154" t="s">
        <v>638</v>
      </c>
      <c r="J19" s="177" t="s">
        <v>63</v>
      </c>
      <c r="K19" s="178" t="s">
        <v>326</v>
      </c>
      <c r="L19" s="158" t="s">
        <v>258</v>
      </c>
      <c r="M19" s="164" t="s">
        <v>349</v>
      </c>
      <c r="N19" s="158" t="s">
        <v>350</v>
      </c>
      <c r="O19" s="158" t="s">
        <v>352</v>
      </c>
      <c r="P19" s="158" t="s">
        <v>330</v>
      </c>
      <c r="Q19" s="158" t="s">
        <v>325</v>
      </c>
      <c r="R19" s="158" t="s">
        <v>627</v>
      </c>
      <c r="S19" s="158" t="s">
        <v>426</v>
      </c>
      <c r="T19" s="158" t="s">
        <v>561</v>
      </c>
      <c r="U19" s="179" t="s">
        <v>311</v>
      </c>
      <c r="V19" s="180">
        <v>0.2</v>
      </c>
      <c r="W19" s="179" t="s">
        <v>77</v>
      </c>
      <c r="X19" s="180">
        <v>0.8</v>
      </c>
      <c r="Y19" s="66" t="s">
        <v>270</v>
      </c>
      <c r="Z19" s="158" t="s">
        <v>340</v>
      </c>
      <c r="AA19" s="179" t="s">
        <v>311</v>
      </c>
      <c r="AB19" s="182">
        <v>2.1167999999999999E-2</v>
      </c>
      <c r="AC19" s="179" t="s">
        <v>77</v>
      </c>
      <c r="AD19" s="182">
        <v>0.8</v>
      </c>
      <c r="AE19" s="66" t="s">
        <v>270</v>
      </c>
      <c r="AF19" s="158" t="s">
        <v>341</v>
      </c>
      <c r="AG19" s="177" t="s">
        <v>328</v>
      </c>
      <c r="AH19" s="181" t="s">
        <v>639</v>
      </c>
      <c r="AI19" s="181" t="s">
        <v>632</v>
      </c>
      <c r="AJ19" s="181" t="s">
        <v>542</v>
      </c>
      <c r="AK19" s="181" t="s">
        <v>542</v>
      </c>
      <c r="AL19" s="181" t="s">
        <v>598</v>
      </c>
      <c r="AM19" s="181" t="s">
        <v>633</v>
      </c>
      <c r="AN19" s="158" t="s">
        <v>640</v>
      </c>
      <c r="AO19" s="158" t="s">
        <v>641</v>
      </c>
      <c r="AP19" s="158" t="s">
        <v>642</v>
      </c>
      <c r="AQ19" s="159">
        <v>45267</v>
      </c>
      <c r="AR19" s="160" t="s">
        <v>343</v>
      </c>
      <c r="AS19" s="161" t="s">
        <v>636</v>
      </c>
      <c r="AT19" s="162"/>
      <c r="AU19" s="163"/>
      <c r="AV19" s="164"/>
      <c r="AW19" s="162"/>
      <c r="AX19" s="160"/>
      <c r="AY19" s="161"/>
      <c r="AZ19" s="162"/>
      <c r="BA19" s="163"/>
      <c r="BB19" s="164"/>
      <c r="BC19" s="162"/>
      <c r="BD19" s="160"/>
      <c r="BE19" s="161"/>
      <c r="BF19" s="162"/>
      <c r="BG19" s="163"/>
      <c r="BH19" s="164"/>
      <c r="BI19" s="162"/>
      <c r="BJ19" s="160"/>
      <c r="BK19" s="161"/>
      <c r="BL19" s="162"/>
      <c r="BM19" s="163"/>
      <c r="BN19" s="164"/>
      <c r="BO19" s="162"/>
      <c r="BP19" s="160"/>
      <c r="BQ19" s="161"/>
      <c r="BR19" s="162"/>
      <c r="BS19" s="163"/>
      <c r="BT19" s="164"/>
      <c r="BU19" s="162"/>
      <c r="BV19" s="160"/>
      <c r="BW19" s="161"/>
      <c r="BX19" s="162"/>
      <c r="BY19" s="163"/>
      <c r="BZ19" s="165"/>
      <c r="CA19" s="2">
        <f t="shared" si="0"/>
        <v>33</v>
      </c>
      <c r="CB19" s="51"/>
      <c r="CC19" s="51" t="s">
        <v>553</v>
      </c>
      <c r="CD19" s="51" t="s">
        <v>438</v>
      </c>
      <c r="CE19" s="51" t="s">
        <v>434</v>
      </c>
      <c r="CF19" s="51" t="s">
        <v>432</v>
      </c>
      <c r="CG19" s="51" t="s">
        <v>432</v>
      </c>
      <c r="CH19" s="51" t="s">
        <v>448</v>
      </c>
      <c r="CI19" s="51" t="s">
        <v>432</v>
      </c>
      <c r="CJ19" s="51" t="s">
        <v>452</v>
      </c>
      <c r="CK19" s="51"/>
      <c r="CL19" s="51" t="s">
        <v>452</v>
      </c>
      <c r="CM19" s="51" t="s">
        <v>457</v>
      </c>
      <c r="CN19" s="51" t="s">
        <v>452</v>
      </c>
      <c r="CO19" s="51" t="s">
        <v>452</v>
      </c>
      <c r="CP19" s="51" t="s">
        <v>452</v>
      </c>
      <c r="CQ19" s="51" t="s">
        <v>452</v>
      </c>
      <c r="CR19" s="51" t="s">
        <v>468</v>
      </c>
      <c r="CS19" s="51" t="s">
        <v>452</v>
      </c>
      <c r="CT19" s="51" t="s">
        <v>452</v>
      </c>
      <c r="CU19" s="51" t="s">
        <v>452</v>
      </c>
      <c r="CV19" s="51" t="s">
        <v>452</v>
      </c>
      <c r="CW19" s="51" t="s">
        <v>452</v>
      </c>
      <c r="CX19" s="51" t="s">
        <v>452</v>
      </c>
      <c r="CZ19" s="153" t="str">
        <f t="shared" si="1"/>
        <v>Corrupción</v>
      </c>
      <c r="DA19" s="200" t="str">
        <f t="shared" si="2"/>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200"/>
      <c r="DC19" s="200"/>
      <c r="DD19" s="200"/>
      <c r="DE19" s="200"/>
      <c r="DF19" s="200"/>
      <c r="DG19" s="200"/>
      <c r="DH19" s="153" t="str">
        <f t="shared" si="3"/>
        <v>Alto</v>
      </c>
      <c r="DI19" s="153" t="str">
        <f t="shared" si="4"/>
        <v>Alto</v>
      </c>
      <c r="DK19" s="149" t="e">
        <f>SUM(LEN(#REF!)-LEN(SUBSTITUTE(#REF!,"- Preventivo","")))/LEN("- Preventivo")</f>
        <v>#REF!</v>
      </c>
      <c r="DL19" s="149" t="e">
        <f t="shared" si="5"/>
        <v>#REF!</v>
      </c>
      <c r="DM19" s="149" t="e">
        <f>SUM(LEN(#REF!)-LEN(SUBSTITUTE(#REF!,"- Detectivo","")))/LEN("- Detectivo")</f>
        <v>#REF!</v>
      </c>
      <c r="DN19" s="149" t="e">
        <f t="shared" si="6"/>
        <v>#REF!</v>
      </c>
      <c r="DO19" s="149" t="e">
        <f>SUM(LEN(#REF!)-LEN(SUBSTITUTE(#REF!,"- Correctivo","")))/LEN("- Correctivo")</f>
        <v>#REF!</v>
      </c>
      <c r="DP19" s="149" t="e">
        <f t="shared" si="7"/>
        <v>#REF!</v>
      </c>
      <c r="DQ19" s="149" t="e">
        <f t="shared" si="8"/>
        <v>#REF!</v>
      </c>
      <c r="DR19" s="149" t="e">
        <f t="shared" si="9"/>
        <v>#REF!</v>
      </c>
      <c r="DS19" s="149" t="e">
        <f>SUM(LEN(#REF!)-LEN(SUBSTITUTE(#REF!,"- Documentado","")))/LEN("- Documentado")</f>
        <v>#REF!</v>
      </c>
      <c r="DT19" s="149" t="e">
        <f>SUM(LEN(#REF!)-LEN(SUBSTITUTE(#REF!,"- Documentado","")))/LEN("- Documentado")</f>
        <v>#REF!</v>
      </c>
      <c r="DU19" s="149" t="e">
        <f t="shared" si="10"/>
        <v>#REF!</v>
      </c>
      <c r="DV19" s="149" t="e">
        <f>SUM(LEN(#REF!)-LEN(SUBSTITUTE(#REF!,"- Continua","")))/LEN("- Continua")</f>
        <v>#REF!</v>
      </c>
      <c r="DW19" s="149" t="e">
        <f>SUM(LEN(#REF!)-LEN(SUBSTITUTE(#REF!,"- Continua","")))/LEN("- Continua")</f>
        <v>#REF!</v>
      </c>
      <c r="DX19" s="149" t="e">
        <f t="shared" si="11"/>
        <v>#REF!</v>
      </c>
      <c r="DY19" s="149" t="e">
        <f>SUM(LEN(#REF!)-LEN(SUBSTITUTE(#REF!,"- Con registro","")))/LEN("- Con registro")</f>
        <v>#REF!</v>
      </c>
      <c r="DZ19" s="149" t="e">
        <f>SUM(LEN(#REF!)-LEN(SUBSTITUTE(#REF!,"- Con registro","")))/LEN("- Con registro")</f>
        <v>#REF!</v>
      </c>
      <c r="EA19" s="149" t="e">
        <f t="shared" si="12"/>
        <v>#REF!</v>
      </c>
      <c r="EB19" s="152" t="e">
        <f t="shared" si="13"/>
        <v>#REF!</v>
      </c>
      <c r="EC19" s="152" t="e">
        <f t="shared" si="14"/>
        <v>#REF!</v>
      </c>
      <c r="ED19" s="184" t="e">
        <f t="shared" si="15"/>
        <v>#REF!</v>
      </c>
      <c r="EE19" s="198" t="e">
        <f t="shared" si="16"/>
        <v>#REF!</v>
      </c>
      <c r="EF19" s="198"/>
      <c r="EG19" s="198"/>
      <c r="EH19" s="198"/>
      <c r="EI19" s="198"/>
      <c r="EJ19" s="198"/>
      <c r="EK19" s="198"/>
      <c r="EL19" s="198"/>
      <c r="EM19" s="198"/>
      <c r="EN19" s="198"/>
      <c r="EP19" s="172">
        <f t="shared" si="17"/>
        <v>45267</v>
      </c>
      <c r="EQ19" s="173">
        <f t="shared" si="18"/>
        <v>45320</v>
      </c>
      <c r="ER19" s="149" t="str">
        <f t="shared" si="19"/>
        <v>Riesgos</v>
      </c>
      <c r="ES19" s="149" t="str">
        <f t="shared" si="20"/>
        <v>ID_-: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ET19" s="149" t="str">
        <f t="shared" si="21"/>
        <v>Ajuste en 
Análisis antes de controles
Tratamiento del riesgo en el Mapa de riesgos de Gestión de Recursos Físicos</v>
      </c>
      <c r="EU19" s="149" t="str">
        <f t="shared" si="22"/>
        <v>Solicitud de cambio realizada y aprobada por la Subdirección de Servicios Administrativos a través del Aplicativo DARUMA</v>
      </c>
    </row>
    <row r="20" spans="1:151" ht="399.95" customHeight="1" x14ac:dyDescent="0.2">
      <c r="A20" s="177" t="s">
        <v>423</v>
      </c>
      <c r="B20" s="158" t="s">
        <v>401</v>
      </c>
      <c r="C20" s="158" t="s">
        <v>643</v>
      </c>
      <c r="D20" s="177" t="s">
        <v>626</v>
      </c>
      <c r="E20" s="178" t="s">
        <v>398</v>
      </c>
      <c r="F20" s="158" t="s">
        <v>402</v>
      </c>
      <c r="G20" s="178" t="s">
        <v>542</v>
      </c>
      <c r="H20" s="178" t="s">
        <v>542</v>
      </c>
      <c r="I20" s="154" t="s">
        <v>403</v>
      </c>
      <c r="J20" s="177" t="s">
        <v>63</v>
      </c>
      <c r="K20" s="178" t="s">
        <v>326</v>
      </c>
      <c r="L20" s="158" t="s">
        <v>258</v>
      </c>
      <c r="M20" s="164" t="s">
        <v>367</v>
      </c>
      <c r="N20" s="158" t="s">
        <v>368</v>
      </c>
      <c r="O20" s="158" t="s">
        <v>369</v>
      </c>
      <c r="P20" s="158" t="s">
        <v>330</v>
      </c>
      <c r="Q20" s="158" t="s">
        <v>325</v>
      </c>
      <c r="R20" s="158" t="s">
        <v>331</v>
      </c>
      <c r="S20" s="158" t="s">
        <v>426</v>
      </c>
      <c r="T20" s="158" t="s">
        <v>561</v>
      </c>
      <c r="U20" s="179" t="s">
        <v>311</v>
      </c>
      <c r="V20" s="180">
        <v>0.2</v>
      </c>
      <c r="W20" s="179" t="s">
        <v>77</v>
      </c>
      <c r="X20" s="180">
        <v>0.8</v>
      </c>
      <c r="Y20" s="66" t="s">
        <v>270</v>
      </c>
      <c r="Z20" s="158" t="s">
        <v>644</v>
      </c>
      <c r="AA20" s="179" t="s">
        <v>311</v>
      </c>
      <c r="AB20" s="182">
        <v>2.4695999999999999E-2</v>
      </c>
      <c r="AC20" s="179" t="s">
        <v>77</v>
      </c>
      <c r="AD20" s="182">
        <v>0.8</v>
      </c>
      <c r="AE20" s="66" t="s">
        <v>270</v>
      </c>
      <c r="AF20" s="158" t="s">
        <v>370</v>
      </c>
      <c r="AG20" s="177" t="s">
        <v>328</v>
      </c>
      <c r="AH20" s="158" t="s">
        <v>645</v>
      </c>
      <c r="AI20" s="158" t="s">
        <v>737</v>
      </c>
      <c r="AJ20" s="158" t="s">
        <v>542</v>
      </c>
      <c r="AK20" s="158" t="s">
        <v>542</v>
      </c>
      <c r="AL20" s="158" t="s">
        <v>664</v>
      </c>
      <c r="AM20" s="158" t="s">
        <v>665</v>
      </c>
      <c r="AN20" s="158" t="s">
        <v>646</v>
      </c>
      <c r="AO20" s="158" t="s">
        <v>647</v>
      </c>
      <c r="AP20" s="158" t="s">
        <v>648</v>
      </c>
      <c r="AQ20" s="159">
        <v>45264</v>
      </c>
      <c r="AR20" s="160" t="s">
        <v>336</v>
      </c>
      <c r="AS20" s="161" t="s">
        <v>649</v>
      </c>
      <c r="AT20" s="162"/>
      <c r="AU20" s="163"/>
      <c r="AV20" s="164"/>
      <c r="AW20" s="162"/>
      <c r="AX20" s="160"/>
      <c r="AY20" s="161"/>
      <c r="AZ20" s="162"/>
      <c r="BA20" s="163"/>
      <c r="BB20" s="164"/>
      <c r="BC20" s="162"/>
      <c r="BD20" s="160"/>
      <c r="BE20" s="161"/>
      <c r="BF20" s="162"/>
      <c r="BG20" s="163"/>
      <c r="BH20" s="164"/>
      <c r="BI20" s="162"/>
      <c r="BJ20" s="160"/>
      <c r="BK20" s="161"/>
      <c r="BL20" s="162"/>
      <c r="BM20" s="163"/>
      <c r="BN20" s="164"/>
      <c r="BO20" s="162"/>
      <c r="BP20" s="160"/>
      <c r="BQ20" s="161"/>
      <c r="BR20" s="162"/>
      <c r="BS20" s="163"/>
      <c r="BT20" s="164"/>
      <c r="BU20" s="162"/>
      <c r="BV20" s="160"/>
      <c r="BW20" s="161"/>
      <c r="BX20" s="162"/>
      <c r="BY20" s="163"/>
      <c r="BZ20" s="165"/>
      <c r="CA20" s="2">
        <f t="shared" si="0"/>
        <v>33</v>
      </c>
      <c r="CB20" s="51" t="s">
        <v>488</v>
      </c>
      <c r="CC20" s="51" t="s">
        <v>553</v>
      </c>
      <c r="CD20" s="51" t="s">
        <v>439</v>
      </c>
      <c r="CE20" s="51" t="s">
        <v>434</v>
      </c>
      <c r="CF20" s="51" t="s">
        <v>432</v>
      </c>
      <c r="CG20" s="51" t="s">
        <v>432</v>
      </c>
      <c r="CH20" s="51" t="s">
        <v>448</v>
      </c>
      <c r="CI20" s="51" t="s">
        <v>432</v>
      </c>
      <c r="CJ20" s="51" t="s">
        <v>452</v>
      </c>
      <c r="CK20" s="51"/>
      <c r="CL20" s="51" t="s">
        <v>452</v>
      </c>
      <c r="CM20" s="51" t="s">
        <v>452</v>
      </c>
      <c r="CN20" s="51" t="s">
        <v>452</v>
      </c>
      <c r="CO20" s="51" t="s">
        <v>510</v>
      </c>
      <c r="CP20" s="51" t="s">
        <v>452</v>
      </c>
      <c r="CQ20" s="51" t="s">
        <v>510</v>
      </c>
      <c r="CR20" s="51" t="s">
        <v>469</v>
      </c>
      <c r="CS20" s="51" t="s">
        <v>452</v>
      </c>
      <c r="CT20" s="51" t="s">
        <v>452</v>
      </c>
      <c r="CU20" s="51" t="s">
        <v>452</v>
      </c>
      <c r="CV20" s="51" t="s">
        <v>452</v>
      </c>
      <c r="CW20" s="51" t="s">
        <v>452</v>
      </c>
      <c r="CX20" s="51" t="s">
        <v>452</v>
      </c>
      <c r="CZ20" s="153" t="str">
        <f t="shared" si="1"/>
        <v>Corrupción</v>
      </c>
      <c r="DA20" s="200" t="str">
        <f t="shared" si="2"/>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200"/>
      <c r="DC20" s="200"/>
      <c r="DD20" s="200"/>
      <c r="DE20" s="200"/>
      <c r="DF20" s="200"/>
      <c r="DG20" s="200"/>
      <c r="DH20" s="153" t="str">
        <f t="shared" si="3"/>
        <v>Alto</v>
      </c>
      <c r="DI20" s="153" t="str">
        <f t="shared" ref="DI20:DI26" si="23">AE20</f>
        <v>Alto</v>
      </c>
      <c r="DK20" s="149" t="e">
        <f>SUM(LEN(#REF!)-LEN(SUBSTITUTE(#REF!,"- Preventivo","")))/LEN("- Preventivo")</f>
        <v>#REF!</v>
      </c>
      <c r="DL20" s="149" t="e">
        <f t="shared" si="5"/>
        <v>#REF!</v>
      </c>
      <c r="DM20" s="149" t="e">
        <f>SUM(LEN(#REF!)-LEN(SUBSTITUTE(#REF!,"- Detectivo","")))/LEN("- Detectivo")</f>
        <v>#REF!</v>
      </c>
      <c r="DN20" s="149" t="e">
        <f t="shared" si="6"/>
        <v>#REF!</v>
      </c>
      <c r="DO20" s="149" t="e">
        <f>SUM(LEN(#REF!)-LEN(SUBSTITUTE(#REF!,"- Correctivo","")))/LEN("- Correctivo")</f>
        <v>#REF!</v>
      </c>
      <c r="DP20" s="149" t="e">
        <f t="shared" si="7"/>
        <v>#REF!</v>
      </c>
      <c r="DQ20" s="149" t="e">
        <f t="shared" si="8"/>
        <v>#REF!</v>
      </c>
      <c r="DR20" s="149" t="e">
        <f t="shared" si="9"/>
        <v>#REF!</v>
      </c>
      <c r="DS20" s="149" t="e">
        <f>SUM(LEN(#REF!)-LEN(SUBSTITUTE(#REF!,"- Documentado","")))/LEN("- Documentado")</f>
        <v>#REF!</v>
      </c>
      <c r="DT20" s="149" t="e">
        <f>SUM(LEN(#REF!)-LEN(SUBSTITUTE(#REF!,"- Documentado","")))/LEN("- Documentado")</f>
        <v>#REF!</v>
      </c>
      <c r="DU20" s="149" t="e">
        <f t="shared" si="10"/>
        <v>#REF!</v>
      </c>
      <c r="DV20" s="149" t="e">
        <f>SUM(LEN(#REF!)-LEN(SUBSTITUTE(#REF!,"- Continua","")))/LEN("- Continua")</f>
        <v>#REF!</v>
      </c>
      <c r="DW20" s="149" t="e">
        <f>SUM(LEN(#REF!)-LEN(SUBSTITUTE(#REF!,"- Continua","")))/LEN("- Continua")</f>
        <v>#REF!</v>
      </c>
      <c r="DX20" s="149" t="e">
        <f t="shared" si="11"/>
        <v>#REF!</v>
      </c>
      <c r="DY20" s="149" t="e">
        <f>SUM(LEN(#REF!)-LEN(SUBSTITUTE(#REF!,"- Con registro","")))/LEN("- Con registro")</f>
        <v>#REF!</v>
      </c>
      <c r="DZ20" s="149" t="e">
        <f>SUM(LEN(#REF!)-LEN(SUBSTITUTE(#REF!,"- Con registro","")))/LEN("- Con registro")</f>
        <v>#REF!</v>
      </c>
      <c r="EA20" s="149" t="e">
        <f t="shared" si="12"/>
        <v>#REF!</v>
      </c>
      <c r="EB20" s="152" t="e">
        <f t="shared" si="13"/>
        <v>#REF!</v>
      </c>
      <c r="EC20" s="152" t="e">
        <f t="shared" si="14"/>
        <v>#REF!</v>
      </c>
      <c r="ED20" s="184" t="e">
        <f t="shared" si="15"/>
        <v>#REF!</v>
      </c>
      <c r="EE20" s="198" t="e">
        <f t="shared" si="16"/>
        <v>#REF!</v>
      </c>
      <c r="EF20" s="198"/>
      <c r="EG20" s="198"/>
      <c r="EH20" s="198"/>
      <c r="EI20" s="198"/>
      <c r="EJ20" s="198"/>
      <c r="EK20" s="198"/>
      <c r="EL20" s="198"/>
      <c r="EM20" s="198"/>
      <c r="EN20" s="198"/>
      <c r="EP20" s="172">
        <f t="shared" si="17"/>
        <v>45264</v>
      </c>
      <c r="EQ20" s="173">
        <f t="shared" si="18"/>
        <v>45320</v>
      </c>
      <c r="ER20" s="149" t="str">
        <f t="shared" si="19"/>
        <v>Riesgos</v>
      </c>
      <c r="ES20" s="149" t="str">
        <f t="shared" si="20"/>
        <v>ID_-: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20" s="149" t="str">
        <f t="shared" si="21"/>
        <v>Ajuste en 
Tratamiento del riesgo en el Mapa de riesgos de Gestión de Servicios Administrativos y Tecnológicos</v>
      </c>
      <c r="EU20" s="149" t="str">
        <f t="shared" si="22"/>
        <v>Solicitud de cambio realizada y aprobada por la Subdirección de Servicios Administrativos a través del Aplicativo DARUMA</v>
      </c>
    </row>
    <row r="21" spans="1:151" ht="399.95" customHeight="1" x14ac:dyDescent="0.2">
      <c r="A21" s="177" t="s">
        <v>423</v>
      </c>
      <c r="B21" s="158" t="s">
        <v>401</v>
      </c>
      <c r="C21" s="158" t="s">
        <v>643</v>
      </c>
      <c r="D21" s="177" t="s">
        <v>626</v>
      </c>
      <c r="E21" s="178" t="s">
        <v>398</v>
      </c>
      <c r="F21" s="158" t="s">
        <v>404</v>
      </c>
      <c r="G21" s="178" t="s">
        <v>542</v>
      </c>
      <c r="H21" s="178" t="s">
        <v>542</v>
      </c>
      <c r="I21" s="154" t="s">
        <v>405</v>
      </c>
      <c r="J21" s="177" t="s">
        <v>63</v>
      </c>
      <c r="K21" s="178" t="s">
        <v>326</v>
      </c>
      <c r="L21" s="158" t="s">
        <v>430</v>
      </c>
      <c r="M21" s="164" t="s">
        <v>650</v>
      </c>
      <c r="N21" s="158" t="s">
        <v>406</v>
      </c>
      <c r="O21" s="158" t="s">
        <v>651</v>
      </c>
      <c r="P21" s="158" t="s">
        <v>330</v>
      </c>
      <c r="Q21" s="158" t="s">
        <v>325</v>
      </c>
      <c r="R21" s="158" t="s">
        <v>331</v>
      </c>
      <c r="S21" s="158" t="s">
        <v>426</v>
      </c>
      <c r="T21" s="158" t="s">
        <v>561</v>
      </c>
      <c r="U21" s="179" t="s">
        <v>311</v>
      </c>
      <c r="V21" s="180">
        <v>0.2</v>
      </c>
      <c r="W21" s="179" t="s">
        <v>77</v>
      </c>
      <c r="X21" s="180">
        <v>0.8</v>
      </c>
      <c r="Y21" s="66" t="s">
        <v>270</v>
      </c>
      <c r="Z21" s="158" t="s">
        <v>371</v>
      </c>
      <c r="AA21" s="179" t="s">
        <v>311</v>
      </c>
      <c r="AB21" s="182">
        <v>8.3999999999999991E-2</v>
      </c>
      <c r="AC21" s="179" t="s">
        <v>77</v>
      </c>
      <c r="AD21" s="182">
        <v>0.8</v>
      </c>
      <c r="AE21" s="66" t="s">
        <v>270</v>
      </c>
      <c r="AF21" s="158" t="s">
        <v>652</v>
      </c>
      <c r="AG21" s="177" t="s">
        <v>328</v>
      </c>
      <c r="AH21" s="181" t="s">
        <v>653</v>
      </c>
      <c r="AI21" s="181" t="s">
        <v>654</v>
      </c>
      <c r="AJ21" s="181" t="s">
        <v>542</v>
      </c>
      <c r="AK21" s="181" t="s">
        <v>542</v>
      </c>
      <c r="AL21" s="181" t="s">
        <v>598</v>
      </c>
      <c r="AM21" s="181" t="s">
        <v>587</v>
      </c>
      <c r="AN21" s="158" t="s">
        <v>655</v>
      </c>
      <c r="AO21" s="158" t="s">
        <v>656</v>
      </c>
      <c r="AP21" s="158" t="s">
        <v>657</v>
      </c>
      <c r="AQ21" s="162">
        <v>45264</v>
      </c>
      <c r="AR21" s="163" t="s">
        <v>342</v>
      </c>
      <c r="AS21" s="164" t="s">
        <v>658</v>
      </c>
      <c r="AT21" s="162"/>
      <c r="AU21" s="160"/>
      <c r="AV21" s="161"/>
      <c r="AW21" s="162"/>
      <c r="AX21" s="163"/>
      <c r="AY21" s="164"/>
      <c r="AZ21" s="162"/>
      <c r="BA21" s="160"/>
      <c r="BB21" s="161"/>
      <c r="BC21" s="162"/>
      <c r="BD21" s="163"/>
      <c r="BE21" s="164"/>
      <c r="BF21" s="162"/>
      <c r="BG21" s="160"/>
      <c r="BH21" s="161"/>
      <c r="BI21" s="162"/>
      <c r="BJ21" s="163"/>
      <c r="BK21" s="164"/>
      <c r="BL21" s="162"/>
      <c r="BM21" s="160"/>
      <c r="BN21" s="161"/>
      <c r="BO21" s="162"/>
      <c r="BP21" s="163"/>
      <c r="BQ21" s="164"/>
      <c r="BR21" s="162"/>
      <c r="BS21" s="160"/>
      <c r="BT21" s="161"/>
      <c r="BU21" s="162"/>
      <c r="BV21" s="163"/>
      <c r="BW21" s="166"/>
      <c r="BX21" s="162"/>
      <c r="BY21" s="163"/>
      <c r="BZ21" s="165"/>
      <c r="CA21" s="2">
        <f t="shared" si="0"/>
        <v>33</v>
      </c>
      <c r="CB21" s="51" t="s">
        <v>489</v>
      </c>
      <c r="CC21" s="51" t="s">
        <v>502</v>
      </c>
      <c r="CD21" s="51" t="s">
        <v>439</v>
      </c>
      <c r="CE21" s="51" t="s">
        <v>434</v>
      </c>
      <c r="CF21" s="51" t="s">
        <v>432</v>
      </c>
      <c r="CG21" s="51" t="s">
        <v>432</v>
      </c>
      <c r="CH21" s="51" t="s">
        <v>448</v>
      </c>
      <c r="CI21" s="51" t="s">
        <v>432</v>
      </c>
      <c r="CJ21" s="51" t="s">
        <v>452</v>
      </c>
      <c r="CK21" s="51"/>
      <c r="CL21" s="51" t="s">
        <v>452</v>
      </c>
      <c r="CM21" s="51" t="s">
        <v>452</v>
      </c>
      <c r="CN21" s="51" t="s">
        <v>452</v>
      </c>
      <c r="CO21" s="51" t="s">
        <v>452</v>
      </c>
      <c r="CP21" s="51" t="s">
        <v>452</v>
      </c>
      <c r="CQ21" s="51" t="s">
        <v>452</v>
      </c>
      <c r="CR21" s="51" t="s">
        <v>470</v>
      </c>
      <c r="CS21" s="51" t="s">
        <v>452</v>
      </c>
      <c r="CT21" s="51" t="s">
        <v>452</v>
      </c>
      <c r="CU21" s="51" t="s">
        <v>452</v>
      </c>
      <c r="CV21" s="51" t="s">
        <v>452</v>
      </c>
      <c r="CW21" s="51" t="s">
        <v>452</v>
      </c>
      <c r="CX21" s="51" t="s">
        <v>452</v>
      </c>
      <c r="CZ21" s="153" t="str">
        <f t="shared" si="1"/>
        <v>Corrupción</v>
      </c>
      <c r="DA21" s="200" t="str">
        <f t="shared" si="2"/>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200"/>
      <c r="DC21" s="200"/>
      <c r="DD21" s="200"/>
      <c r="DE21" s="200"/>
      <c r="DF21" s="200"/>
      <c r="DG21" s="200"/>
      <c r="DH21" s="153" t="str">
        <f t="shared" si="3"/>
        <v>Alto</v>
      </c>
      <c r="DI21" s="153" t="str">
        <f t="shared" si="23"/>
        <v>Alto</v>
      </c>
      <c r="DK21" s="149" t="e">
        <f>SUM(LEN(#REF!)-LEN(SUBSTITUTE(#REF!,"- Preventivo","")))/LEN("- Preventivo")</f>
        <v>#REF!</v>
      </c>
      <c r="DL21" s="149" t="e">
        <f t="shared" si="5"/>
        <v>#REF!</v>
      </c>
      <c r="DM21" s="149" t="e">
        <f>SUM(LEN(#REF!)-LEN(SUBSTITUTE(#REF!,"- Detectivo","")))/LEN("- Detectivo")</f>
        <v>#REF!</v>
      </c>
      <c r="DN21" s="149" t="e">
        <f t="shared" si="6"/>
        <v>#REF!</v>
      </c>
      <c r="DO21" s="149" t="e">
        <f>SUM(LEN(#REF!)-LEN(SUBSTITUTE(#REF!,"- Correctivo","")))/LEN("- Correctivo")</f>
        <v>#REF!</v>
      </c>
      <c r="DP21" s="149" t="e">
        <f t="shared" si="7"/>
        <v>#REF!</v>
      </c>
      <c r="DQ21" s="149" t="e">
        <f t="shared" si="8"/>
        <v>#REF!</v>
      </c>
      <c r="DR21" s="149" t="e">
        <f t="shared" si="9"/>
        <v>#REF!</v>
      </c>
      <c r="DS21" s="149" t="e">
        <f>SUM(LEN(#REF!)-LEN(SUBSTITUTE(#REF!,"- Documentado","")))/LEN("- Documentado")</f>
        <v>#REF!</v>
      </c>
      <c r="DT21" s="149" t="e">
        <f>SUM(LEN(#REF!)-LEN(SUBSTITUTE(#REF!,"- Documentado","")))/LEN("- Documentado")</f>
        <v>#REF!</v>
      </c>
      <c r="DU21" s="149" t="e">
        <f t="shared" si="10"/>
        <v>#REF!</v>
      </c>
      <c r="DV21" s="149" t="e">
        <f>SUM(LEN(#REF!)-LEN(SUBSTITUTE(#REF!,"- Continua","")))/LEN("- Continua")</f>
        <v>#REF!</v>
      </c>
      <c r="DW21" s="149" t="e">
        <f>SUM(LEN(#REF!)-LEN(SUBSTITUTE(#REF!,"- Continua","")))/LEN("- Continua")</f>
        <v>#REF!</v>
      </c>
      <c r="DX21" s="149" t="e">
        <f t="shared" si="11"/>
        <v>#REF!</v>
      </c>
      <c r="DY21" s="149" t="e">
        <f>SUM(LEN(#REF!)-LEN(SUBSTITUTE(#REF!,"- Con registro","")))/LEN("- Con registro")</f>
        <v>#REF!</v>
      </c>
      <c r="DZ21" s="149" t="e">
        <f>SUM(LEN(#REF!)-LEN(SUBSTITUTE(#REF!,"- Con registro","")))/LEN("- Con registro")</f>
        <v>#REF!</v>
      </c>
      <c r="EA21" s="149" t="e">
        <f t="shared" si="12"/>
        <v>#REF!</v>
      </c>
      <c r="EB21" s="152" t="e">
        <f t="shared" si="13"/>
        <v>#REF!</v>
      </c>
      <c r="EC21" s="152" t="e">
        <f t="shared" si="14"/>
        <v>#REF!</v>
      </c>
      <c r="ED21" s="184" t="e">
        <f t="shared" si="15"/>
        <v>#REF!</v>
      </c>
      <c r="EE21" s="198" t="e">
        <f t="shared" si="16"/>
        <v>#REF!</v>
      </c>
      <c r="EF21" s="198"/>
      <c r="EG21" s="198"/>
      <c r="EH21" s="198"/>
      <c r="EI21" s="198"/>
      <c r="EJ21" s="198"/>
      <c r="EK21" s="198"/>
      <c r="EL21" s="198"/>
      <c r="EM21" s="198"/>
      <c r="EN21" s="198"/>
      <c r="EP21" s="172">
        <f t="shared" si="17"/>
        <v>45264</v>
      </c>
      <c r="EQ21" s="173">
        <f t="shared" si="18"/>
        <v>45320</v>
      </c>
      <c r="ER21" s="149" t="str">
        <f t="shared" si="19"/>
        <v>Riesgos</v>
      </c>
      <c r="ES21" s="149" t="str">
        <f t="shared" si="20"/>
        <v>ID_-: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21" s="149" t="str">
        <f t="shared" si="21"/>
        <v>Ajuste en Identificación del riesgo
Análisis antes de controles
Tratamiento del riesgo en el Mapa de riesgos de Gestión de Servicios Administrativos y Tecnológicos</v>
      </c>
      <c r="EU21" s="149" t="str">
        <f t="shared" si="22"/>
        <v>Solicitud de cambio realizada y aprobada por la Subdirección de Gestión Documental a través del Aplicativo DARUMA</v>
      </c>
    </row>
    <row r="22" spans="1:151" ht="399.95" customHeight="1" x14ac:dyDescent="0.2">
      <c r="A22" s="177" t="s">
        <v>407</v>
      </c>
      <c r="B22" s="158" t="s">
        <v>740</v>
      </c>
      <c r="C22" s="158" t="s">
        <v>741</v>
      </c>
      <c r="D22" s="177" t="s">
        <v>197</v>
      </c>
      <c r="E22" s="178" t="s">
        <v>398</v>
      </c>
      <c r="F22" s="158" t="s">
        <v>743</v>
      </c>
      <c r="G22" s="178" t="s">
        <v>542</v>
      </c>
      <c r="H22" s="178" t="s">
        <v>542</v>
      </c>
      <c r="I22" s="154" t="s">
        <v>744</v>
      </c>
      <c r="J22" s="177" t="s">
        <v>63</v>
      </c>
      <c r="K22" s="178" t="s">
        <v>326</v>
      </c>
      <c r="L22" s="158" t="s">
        <v>246</v>
      </c>
      <c r="M22" s="164" t="s">
        <v>745</v>
      </c>
      <c r="N22" s="158" t="s">
        <v>746</v>
      </c>
      <c r="O22" s="158" t="s">
        <v>747</v>
      </c>
      <c r="P22" s="158" t="s">
        <v>742</v>
      </c>
      <c r="Q22" s="158" t="s">
        <v>325</v>
      </c>
      <c r="R22" s="158" t="s">
        <v>327</v>
      </c>
      <c r="S22" s="158" t="s">
        <v>426</v>
      </c>
      <c r="T22" s="158" t="s">
        <v>561</v>
      </c>
      <c r="U22" s="179" t="s">
        <v>311</v>
      </c>
      <c r="V22" s="180">
        <v>0.2</v>
      </c>
      <c r="W22" s="179" t="s">
        <v>77</v>
      </c>
      <c r="X22" s="180">
        <v>0.8</v>
      </c>
      <c r="Y22" s="66" t="s">
        <v>270</v>
      </c>
      <c r="Z22" s="158" t="s">
        <v>748</v>
      </c>
      <c r="AA22" s="179" t="s">
        <v>311</v>
      </c>
      <c r="AB22" s="182">
        <v>3.0239999999999996E-2</v>
      </c>
      <c r="AC22" s="179" t="s">
        <v>77</v>
      </c>
      <c r="AD22" s="182">
        <v>0.8</v>
      </c>
      <c r="AE22" s="66" t="s">
        <v>270</v>
      </c>
      <c r="AF22" s="158" t="s">
        <v>749</v>
      </c>
      <c r="AG22" s="177" t="s">
        <v>328</v>
      </c>
      <c r="AH22" s="181" t="s">
        <v>750</v>
      </c>
      <c r="AI22" s="181" t="s">
        <v>751</v>
      </c>
      <c r="AJ22" s="181" t="s">
        <v>542</v>
      </c>
      <c r="AK22" s="181" t="s">
        <v>542</v>
      </c>
      <c r="AL22" s="183" t="s">
        <v>752</v>
      </c>
      <c r="AM22" s="183" t="s">
        <v>738</v>
      </c>
      <c r="AN22" s="158" t="s">
        <v>753</v>
      </c>
      <c r="AO22" s="158" t="s">
        <v>754</v>
      </c>
      <c r="AP22" s="158" t="s">
        <v>755</v>
      </c>
      <c r="AQ22" s="159">
        <v>45273</v>
      </c>
      <c r="AR22" s="160" t="s">
        <v>567</v>
      </c>
      <c r="AS22" s="161" t="s">
        <v>756</v>
      </c>
      <c r="AT22" s="162"/>
      <c r="AU22" s="163"/>
      <c r="AV22" s="164"/>
      <c r="AW22" s="162"/>
      <c r="AX22" s="160"/>
      <c r="AY22" s="161"/>
      <c r="AZ22" s="162"/>
      <c r="BA22" s="163"/>
      <c r="BB22" s="164"/>
      <c r="BC22" s="162"/>
      <c r="BD22" s="160"/>
      <c r="BE22" s="161"/>
      <c r="BF22" s="162"/>
      <c r="BG22" s="163"/>
      <c r="BH22" s="164"/>
      <c r="BI22" s="162"/>
      <c r="BJ22" s="160"/>
      <c r="BK22" s="161"/>
      <c r="BL22" s="162"/>
      <c r="BM22" s="163"/>
      <c r="BN22" s="164"/>
      <c r="BO22" s="162"/>
      <c r="BP22" s="160"/>
      <c r="BQ22" s="161"/>
      <c r="BR22" s="162"/>
      <c r="BS22" s="163"/>
      <c r="BT22" s="164"/>
      <c r="BU22" s="162"/>
      <c r="BV22" s="163"/>
      <c r="BW22" s="164"/>
      <c r="BX22" s="162"/>
      <c r="BY22" s="163"/>
      <c r="BZ22" s="165"/>
      <c r="CA22" s="2">
        <f t="shared" si="0"/>
        <v>33</v>
      </c>
      <c r="CB22" s="51" t="s">
        <v>486</v>
      </c>
      <c r="CC22" s="51" t="s">
        <v>487</v>
      </c>
      <c r="CD22" s="51" t="s">
        <v>440</v>
      </c>
      <c r="CE22" s="51" t="s">
        <v>452</v>
      </c>
      <c r="CF22" s="51" t="s">
        <v>432</v>
      </c>
      <c r="CG22" s="51" t="s">
        <v>432</v>
      </c>
      <c r="CH22" s="51" t="s">
        <v>448</v>
      </c>
      <c r="CI22" s="51" t="s">
        <v>432</v>
      </c>
      <c r="CJ22" s="51" t="s">
        <v>452</v>
      </c>
      <c r="CK22" s="51"/>
      <c r="CL22" s="51" t="s">
        <v>452</v>
      </c>
      <c r="CM22" s="51" t="s">
        <v>457</v>
      </c>
      <c r="CN22" s="51" t="s">
        <v>452</v>
      </c>
      <c r="CO22" s="51" t="s">
        <v>452</v>
      </c>
      <c r="CP22" s="51" t="s">
        <v>452</v>
      </c>
      <c r="CQ22" s="51" t="s">
        <v>452</v>
      </c>
      <c r="CR22" s="51" t="s">
        <v>471</v>
      </c>
      <c r="CS22" s="51" t="s">
        <v>452</v>
      </c>
      <c r="CT22" s="51"/>
      <c r="CU22" s="51"/>
      <c r="CV22" s="51"/>
      <c r="CW22" s="51"/>
      <c r="CX22" s="51" t="s">
        <v>452</v>
      </c>
      <c r="CZ22" s="153" t="str">
        <f t="shared" si="1"/>
        <v>Corrupción</v>
      </c>
      <c r="DA22" s="200" t="str">
        <f t="shared" si="2"/>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200"/>
      <c r="DC22" s="200"/>
      <c r="DD22" s="200"/>
      <c r="DE22" s="200"/>
      <c r="DF22" s="200"/>
      <c r="DG22" s="200"/>
      <c r="DH22" s="153" t="str">
        <f t="shared" si="3"/>
        <v>Alto</v>
      </c>
      <c r="DI22" s="153" t="str">
        <f t="shared" si="23"/>
        <v>Alto</v>
      </c>
      <c r="DK22" s="149" t="e">
        <f>SUM(LEN(#REF!)-LEN(SUBSTITUTE(#REF!,"- Preventivo","")))/LEN("- Preventivo")</f>
        <v>#REF!</v>
      </c>
      <c r="DL22" s="149" t="e">
        <f t="shared" si="5"/>
        <v>#REF!</v>
      </c>
      <c r="DM22" s="149" t="e">
        <f>SUM(LEN(#REF!)-LEN(SUBSTITUTE(#REF!,"- Detectivo","")))/LEN("- Detectivo")</f>
        <v>#REF!</v>
      </c>
      <c r="DN22" s="149" t="e">
        <f t="shared" si="6"/>
        <v>#REF!</v>
      </c>
      <c r="DO22" s="149" t="e">
        <f>SUM(LEN(#REF!)-LEN(SUBSTITUTE(#REF!,"- Correctivo","")))/LEN("- Correctivo")</f>
        <v>#REF!</v>
      </c>
      <c r="DP22" s="149" t="e">
        <f t="shared" si="7"/>
        <v>#REF!</v>
      </c>
      <c r="DQ22" s="149" t="e">
        <f t="shared" si="8"/>
        <v>#REF!</v>
      </c>
      <c r="DR22" s="149" t="e">
        <f t="shared" si="9"/>
        <v>#REF!</v>
      </c>
      <c r="DS22" s="149" t="e">
        <f>SUM(LEN(#REF!)-LEN(SUBSTITUTE(#REF!,"- Documentado","")))/LEN("- Documentado")</f>
        <v>#REF!</v>
      </c>
      <c r="DT22" s="149" t="e">
        <f>SUM(LEN(#REF!)-LEN(SUBSTITUTE(#REF!,"- Documentado","")))/LEN("- Documentado")</f>
        <v>#REF!</v>
      </c>
      <c r="DU22" s="149" t="e">
        <f t="shared" si="10"/>
        <v>#REF!</v>
      </c>
      <c r="DV22" s="149" t="e">
        <f>SUM(LEN(#REF!)-LEN(SUBSTITUTE(#REF!,"- Continua","")))/LEN("- Continua")</f>
        <v>#REF!</v>
      </c>
      <c r="DW22" s="149" t="e">
        <f>SUM(LEN(#REF!)-LEN(SUBSTITUTE(#REF!,"- Continua","")))/LEN("- Continua")</f>
        <v>#REF!</v>
      </c>
      <c r="DX22" s="149" t="e">
        <f t="shared" si="11"/>
        <v>#REF!</v>
      </c>
      <c r="DY22" s="149" t="e">
        <f>SUM(LEN(#REF!)-LEN(SUBSTITUTE(#REF!,"- Con registro","")))/LEN("- Con registro")</f>
        <v>#REF!</v>
      </c>
      <c r="DZ22" s="149" t="e">
        <f>SUM(LEN(#REF!)-LEN(SUBSTITUTE(#REF!,"- Con registro","")))/LEN("- Con registro")</f>
        <v>#REF!</v>
      </c>
      <c r="EA22" s="149" t="e">
        <f t="shared" si="12"/>
        <v>#REF!</v>
      </c>
      <c r="EB22" s="152" t="e">
        <f t="shared" si="13"/>
        <v>#REF!</v>
      </c>
      <c r="EC22" s="152" t="e">
        <f t="shared" si="14"/>
        <v>#REF!</v>
      </c>
      <c r="ED22" s="184" t="e">
        <f t="shared" si="15"/>
        <v>#REF!</v>
      </c>
      <c r="EE22" s="198" t="e">
        <f t="shared" si="16"/>
        <v>#REF!</v>
      </c>
      <c r="EF22" s="198"/>
      <c r="EG22" s="198"/>
      <c r="EH22" s="198"/>
      <c r="EI22" s="198"/>
      <c r="EJ22" s="198"/>
      <c r="EK22" s="198"/>
      <c r="EL22" s="198"/>
      <c r="EM22" s="198"/>
      <c r="EN22" s="198"/>
      <c r="EP22" s="172">
        <f t="shared" si="17"/>
        <v>45273</v>
      </c>
      <c r="EQ22" s="173">
        <f t="shared" si="18"/>
        <v>45320</v>
      </c>
      <c r="ER22" s="149" t="str">
        <f t="shared" si="19"/>
        <v>Riesgos</v>
      </c>
      <c r="ES22" s="149" t="str">
        <f t="shared" si="20"/>
        <v>ID_-: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ET22" s="149" t="str">
        <f t="shared" si="21"/>
        <v>Ajuste en 
Establecimiento de controles
Tratamiento del riesgo en el Mapa de riesgos de Gestión del Talento Humano</v>
      </c>
      <c r="EU22" s="149" t="str">
        <f t="shared" si="22"/>
        <v>Solicitud de cambio realizada y aprobada por la Dirección de Talento Humano a través del Aplicativo DARUMA</v>
      </c>
    </row>
    <row r="23" spans="1:151" ht="399.95" customHeight="1" x14ac:dyDescent="0.2">
      <c r="A23" s="177" t="s">
        <v>407</v>
      </c>
      <c r="B23" s="158" t="s">
        <v>740</v>
      </c>
      <c r="C23" s="158" t="s">
        <v>741</v>
      </c>
      <c r="D23" s="177" t="s">
        <v>197</v>
      </c>
      <c r="E23" s="178" t="s">
        <v>398</v>
      </c>
      <c r="F23" s="158" t="s">
        <v>757</v>
      </c>
      <c r="G23" s="178" t="s">
        <v>542</v>
      </c>
      <c r="H23" s="178" t="s">
        <v>542</v>
      </c>
      <c r="I23" s="154" t="s">
        <v>758</v>
      </c>
      <c r="J23" s="177" t="s">
        <v>63</v>
      </c>
      <c r="K23" s="178" t="s">
        <v>326</v>
      </c>
      <c r="L23" s="158" t="s">
        <v>246</v>
      </c>
      <c r="M23" s="164" t="s">
        <v>759</v>
      </c>
      <c r="N23" s="158" t="s">
        <v>746</v>
      </c>
      <c r="O23" s="158" t="s">
        <v>760</v>
      </c>
      <c r="P23" s="158" t="s">
        <v>742</v>
      </c>
      <c r="Q23" s="158" t="s">
        <v>325</v>
      </c>
      <c r="R23" s="158" t="s">
        <v>327</v>
      </c>
      <c r="S23" s="158" t="s">
        <v>426</v>
      </c>
      <c r="T23" s="158" t="s">
        <v>561</v>
      </c>
      <c r="U23" s="179" t="s">
        <v>311</v>
      </c>
      <c r="V23" s="180">
        <v>0.2</v>
      </c>
      <c r="W23" s="179" t="s">
        <v>77</v>
      </c>
      <c r="X23" s="180">
        <v>0.8</v>
      </c>
      <c r="Y23" s="66" t="s">
        <v>270</v>
      </c>
      <c r="Z23" s="158" t="s">
        <v>748</v>
      </c>
      <c r="AA23" s="179" t="s">
        <v>311</v>
      </c>
      <c r="AB23" s="182">
        <v>1.8143999999999997E-2</v>
      </c>
      <c r="AC23" s="179" t="s">
        <v>77</v>
      </c>
      <c r="AD23" s="182">
        <v>0.8</v>
      </c>
      <c r="AE23" s="66" t="s">
        <v>270</v>
      </c>
      <c r="AF23" s="158" t="s">
        <v>749</v>
      </c>
      <c r="AG23" s="177" t="s">
        <v>328</v>
      </c>
      <c r="AH23" s="181" t="s">
        <v>761</v>
      </c>
      <c r="AI23" s="181" t="s">
        <v>762</v>
      </c>
      <c r="AJ23" s="181" t="s">
        <v>542</v>
      </c>
      <c r="AK23" s="181" t="s">
        <v>542</v>
      </c>
      <c r="AL23" s="183" t="s">
        <v>763</v>
      </c>
      <c r="AM23" s="181" t="s">
        <v>587</v>
      </c>
      <c r="AN23" s="158" t="s">
        <v>764</v>
      </c>
      <c r="AO23" s="158" t="s">
        <v>765</v>
      </c>
      <c r="AP23" s="158" t="s">
        <v>766</v>
      </c>
      <c r="AQ23" s="159">
        <v>45273</v>
      </c>
      <c r="AR23" s="160" t="s">
        <v>567</v>
      </c>
      <c r="AS23" s="161" t="s">
        <v>767</v>
      </c>
      <c r="AT23" s="162"/>
      <c r="AU23" s="163"/>
      <c r="AV23" s="164"/>
      <c r="AW23" s="162"/>
      <c r="AX23" s="160"/>
      <c r="AY23" s="161"/>
      <c r="AZ23" s="162"/>
      <c r="BA23" s="163"/>
      <c r="BB23" s="164"/>
      <c r="BC23" s="162"/>
      <c r="BD23" s="160"/>
      <c r="BE23" s="161"/>
      <c r="BF23" s="162"/>
      <c r="BG23" s="163"/>
      <c r="BH23" s="164"/>
      <c r="BI23" s="162"/>
      <c r="BJ23" s="160"/>
      <c r="BK23" s="161"/>
      <c r="BL23" s="162"/>
      <c r="BM23" s="163"/>
      <c r="BN23" s="164"/>
      <c r="BO23" s="162"/>
      <c r="BP23" s="160"/>
      <c r="BQ23" s="161"/>
      <c r="BR23" s="162"/>
      <c r="BS23" s="163"/>
      <c r="BT23" s="164"/>
      <c r="BU23" s="162"/>
      <c r="BV23" s="160"/>
      <c r="BW23" s="161"/>
      <c r="BX23" s="162"/>
      <c r="BY23" s="163"/>
      <c r="BZ23" s="165"/>
      <c r="CA23" s="2">
        <f t="shared" si="0"/>
        <v>33</v>
      </c>
      <c r="CB23" s="51" t="s">
        <v>486</v>
      </c>
      <c r="CC23" s="51" t="s">
        <v>487</v>
      </c>
      <c r="CD23" s="51" t="s">
        <v>440</v>
      </c>
      <c r="CE23" s="51" t="s">
        <v>452</v>
      </c>
      <c r="CF23" s="51" t="s">
        <v>432</v>
      </c>
      <c r="CG23" s="51" t="s">
        <v>432</v>
      </c>
      <c r="CH23" s="51" t="s">
        <v>448</v>
      </c>
      <c r="CI23" s="51" t="s">
        <v>432</v>
      </c>
      <c r="CJ23" s="51" t="s">
        <v>452</v>
      </c>
      <c r="CK23" s="51"/>
      <c r="CL23" s="51" t="s">
        <v>452</v>
      </c>
      <c r="CM23" s="51" t="s">
        <v>457</v>
      </c>
      <c r="CN23" s="51" t="s">
        <v>452</v>
      </c>
      <c r="CO23" s="51" t="s">
        <v>452</v>
      </c>
      <c r="CP23" s="51" t="s">
        <v>452</v>
      </c>
      <c r="CQ23" s="51" t="s">
        <v>452</v>
      </c>
      <c r="CR23" s="51" t="s">
        <v>472</v>
      </c>
      <c r="CS23" s="51" t="s">
        <v>452</v>
      </c>
      <c r="CT23" s="51"/>
      <c r="CU23" s="51"/>
      <c r="CV23" s="51"/>
      <c r="CW23" s="51"/>
      <c r="CX23" s="51" t="s">
        <v>452</v>
      </c>
      <c r="CZ23" s="153" t="str">
        <f t="shared" si="1"/>
        <v>Corrupción</v>
      </c>
      <c r="DA23" s="200" t="str">
        <f t="shared" si="2"/>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200"/>
      <c r="DC23" s="200"/>
      <c r="DD23" s="200"/>
      <c r="DE23" s="200"/>
      <c r="DF23" s="200"/>
      <c r="DG23" s="200"/>
      <c r="DH23" s="153" t="str">
        <f t="shared" si="3"/>
        <v>Alto</v>
      </c>
      <c r="DI23" s="153" t="str">
        <f t="shared" si="23"/>
        <v>Alto</v>
      </c>
      <c r="DK23" s="149" t="e">
        <f>SUM(LEN(#REF!)-LEN(SUBSTITUTE(#REF!,"- Preventivo","")))/LEN("- Preventivo")</f>
        <v>#REF!</v>
      </c>
      <c r="DL23" s="149" t="e">
        <f t="shared" si="5"/>
        <v>#REF!</v>
      </c>
      <c r="DM23" s="149" t="e">
        <f>SUM(LEN(#REF!)-LEN(SUBSTITUTE(#REF!,"- Detectivo","")))/LEN("- Detectivo")</f>
        <v>#REF!</v>
      </c>
      <c r="DN23" s="149" t="e">
        <f t="shared" si="6"/>
        <v>#REF!</v>
      </c>
      <c r="DO23" s="149" t="e">
        <f>SUM(LEN(#REF!)-LEN(SUBSTITUTE(#REF!,"- Correctivo","")))/LEN("- Correctivo")</f>
        <v>#REF!</v>
      </c>
      <c r="DP23" s="149" t="e">
        <f t="shared" si="7"/>
        <v>#REF!</v>
      </c>
      <c r="DQ23" s="149" t="e">
        <f t="shared" si="8"/>
        <v>#REF!</v>
      </c>
      <c r="DR23" s="149" t="e">
        <f t="shared" si="9"/>
        <v>#REF!</v>
      </c>
      <c r="DS23" s="149" t="e">
        <f>SUM(LEN(#REF!)-LEN(SUBSTITUTE(#REF!,"- Documentado","")))/LEN("- Documentado")</f>
        <v>#REF!</v>
      </c>
      <c r="DT23" s="149" t="e">
        <f>SUM(LEN(#REF!)-LEN(SUBSTITUTE(#REF!,"- Documentado","")))/LEN("- Documentado")</f>
        <v>#REF!</v>
      </c>
      <c r="DU23" s="149" t="e">
        <f t="shared" si="10"/>
        <v>#REF!</v>
      </c>
      <c r="DV23" s="149" t="e">
        <f>SUM(LEN(#REF!)-LEN(SUBSTITUTE(#REF!,"- Continua","")))/LEN("- Continua")</f>
        <v>#REF!</v>
      </c>
      <c r="DW23" s="149" t="e">
        <f>SUM(LEN(#REF!)-LEN(SUBSTITUTE(#REF!,"- Continua","")))/LEN("- Continua")</f>
        <v>#REF!</v>
      </c>
      <c r="DX23" s="149" t="e">
        <f t="shared" si="11"/>
        <v>#REF!</v>
      </c>
      <c r="DY23" s="149" t="e">
        <f>SUM(LEN(#REF!)-LEN(SUBSTITUTE(#REF!,"- Con registro","")))/LEN("- Con registro")</f>
        <v>#REF!</v>
      </c>
      <c r="DZ23" s="149" t="e">
        <f>SUM(LEN(#REF!)-LEN(SUBSTITUTE(#REF!,"- Con registro","")))/LEN("- Con registro")</f>
        <v>#REF!</v>
      </c>
      <c r="EA23" s="149" t="e">
        <f t="shared" si="12"/>
        <v>#REF!</v>
      </c>
      <c r="EB23" s="152" t="e">
        <f t="shared" si="13"/>
        <v>#REF!</v>
      </c>
      <c r="EC23" s="152" t="e">
        <f t="shared" si="14"/>
        <v>#REF!</v>
      </c>
      <c r="ED23" s="184" t="e">
        <f t="shared" si="15"/>
        <v>#REF!</v>
      </c>
      <c r="EE23" s="198" t="e">
        <f t="shared" si="16"/>
        <v>#REF!</v>
      </c>
      <c r="EF23" s="198"/>
      <c r="EG23" s="198"/>
      <c r="EH23" s="198"/>
      <c r="EI23" s="198"/>
      <c r="EJ23" s="198"/>
      <c r="EK23" s="198"/>
      <c r="EL23" s="198"/>
      <c r="EM23" s="198"/>
      <c r="EN23" s="198"/>
      <c r="EP23" s="172">
        <f t="shared" si="17"/>
        <v>45273</v>
      </c>
      <c r="EQ23" s="173">
        <f t="shared" si="18"/>
        <v>45320</v>
      </c>
      <c r="ER23" s="149" t="str">
        <f t="shared" si="19"/>
        <v>Riesgos</v>
      </c>
      <c r="ES23" s="149" t="str">
        <f t="shared" si="20"/>
        <v xml:space="preserve">ID_-: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ET23" s="149" t="str">
        <f t="shared" si="21"/>
        <v>Ajuste en 
Establecimiento de controles
Tratamiento del riesgo en el Mapa de riesgos de Gestión del Talento Humano</v>
      </c>
      <c r="EU23" s="149" t="str">
        <f t="shared" si="22"/>
        <v>Solicitud de cambio realizada y aprobada por la Dirección de Talento Humano a través del Aplicativo DARUMA</v>
      </c>
    </row>
    <row r="24" spans="1:151" ht="399.95" customHeight="1" x14ac:dyDescent="0.2">
      <c r="A24" s="177" t="s">
        <v>407</v>
      </c>
      <c r="B24" s="158" t="s">
        <v>740</v>
      </c>
      <c r="C24" s="158" t="s">
        <v>741</v>
      </c>
      <c r="D24" s="177" t="s">
        <v>197</v>
      </c>
      <c r="E24" s="178" t="s">
        <v>398</v>
      </c>
      <c r="F24" s="158" t="s">
        <v>768</v>
      </c>
      <c r="G24" s="178" t="s">
        <v>542</v>
      </c>
      <c r="H24" s="178" t="s">
        <v>542</v>
      </c>
      <c r="I24" s="154" t="s">
        <v>769</v>
      </c>
      <c r="J24" s="177" t="s">
        <v>63</v>
      </c>
      <c r="K24" s="178" t="s">
        <v>326</v>
      </c>
      <c r="L24" s="158" t="s">
        <v>246</v>
      </c>
      <c r="M24" s="164" t="s">
        <v>770</v>
      </c>
      <c r="N24" s="158" t="s">
        <v>746</v>
      </c>
      <c r="O24" s="158" t="s">
        <v>771</v>
      </c>
      <c r="P24" s="158" t="s">
        <v>330</v>
      </c>
      <c r="Q24" s="158" t="s">
        <v>325</v>
      </c>
      <c r="R24" s="158" t="s">
        <v>327</v>
      </c>
      <c r="S24" s="158" t="s">
        <v>426</v>
      </c>
      <c r="T24" s="158" t="s">
        <v>561</v>
      </c>
      <c r="U24" s="179" t="s">
        <v>311</v>
      </c>
      <c r="V24" s="180">
        <v>0.2</v>
      </c>
      <c r="W24" s="179" t="s">
        <v>77</v>
      </c>
      <c r="X24" s="180">
        <v>0.8</v>
      </c>
      <c r="Y24" s="66" t="s">
        <v>270</v>
      </c>
      <c r="Z24" s="158" t="s">
        <v>340</v>
      </c>
      <c r="AA24" s="179" t="s">
        <v>311</v>
      </c>
      <c r="AB24" s="182">
        <v>5.8799999999999991E-2</v>
      </c>
      <c r="AC24" s="179" t="s">
        <v>77</v>
      </c>
      <c r="AD24" s="182">
        <v>0.8</v>
      </c>
      <c r="AE24" s="66" t="s">
        <v>270</v>
      </c>
      <c r="AF24" s="158" t="s">
        <v>749</v>
      </c>
      <c r="AG24" s="177" t="s">
        <v>328</v>
      </c>
      <c r="AH24" s="181" t="s">
        <v>772</v>
      </c>
      <c r="AI24" s="181" t="s">
        <v>773</v>
      </c>
      <c r="AJ24" s="181" t="s">
        <v>542</v>
      </c>
      <c r="AK24" s="181" t="s">
        <v>542</v>
      </c>
      <c r="AL24" s="181" t="s">
        <v>763</v>
      </c>
      <c r="AM24" s="181" t="s">
        <v>587</v>
      </c>
      <c r="AN24" s="158" t="s">
        <v>774</v>
      </c>
      <c r="AO24" s="158" t="s">
        <v>775</v>
      </c>
      <c r="AP24" s="158" t="s">
        <v>776</v>
      </c>
      <c r="AQ24" s="159">
        <v>45273</v>
      </c>
      <c r="AR24" s="160" t="s">
        <v>567</v>
      </c>
      <c r="AS24" s="161" t="s">
        <v>767</v>
      </c>
      <c r="AT24" s="162"/>
      <c r="AU24" s="163"/>
      <c r="AV24" s="164"/>
      <c r="AW24" s="162"/>
      <c r="AX24" s="160"/>
      <c r="AY24" s="161"/>
      <c r="AZ24" s="162"/>
      <c r="BA24" s="163"/>
      <c r="BB24" s="164"/>
      <c r="BC24" s="162"/>
      <c r="BD24" s="160"/>
      <c r="BE24" s="161"/>
      <c r="BF24" s="162"/>
      <c r="BG24" s="163"/>
      <c r="BH24" s="164"/>
      <c r="BI24" s="162"/>
      <c r="BJ24" s="160"/>
      <c r="BK24" s="161"/>
      <c r="BL24" s="162"/>
      <c r="BM24" s="163"/>
      <c r="BN24" s="164"/>
      <c r="BO24" s="162"/>
      <c r="BP24" s="160"/>
      <c r="BQ24" s="161"/>
      <c r="BR24" s="162"/>
      <c r="BS24" s="163"/>
      <c r="BT24" s="164"/>
      <c r="BU24" s="162"/>
      <c r="BV24" s="160"/>
      <c r="BW24" s="161"/>
      <c r="BX24" s="162"/>
      <c r="BY24" s="163"/>
      <c r="BZ24" s="165"/>
      <c r="CA24" s="2">
        <f t="shared" si="0"/>
        <v>33</v>
      </c>
      <c r="CB24" s="51" t="s">
        <v>486</v>
      </c>
      <c r="CC24" s="51" t="s">
        <v>487</v>
      </c>
      <c r="CD24" s="51" t="s">
        <v>440</v>
      </c>
      <c r="CE24" s="51" t="s">
        <v>452</v>
      </c>
      <c r="CF24" s="51" t="s">
        <v>432</v>
      </c>
      <c r="CG24" s="51" t="s">
        <v>432</v>
      </c>
      <c r="CH24" s="51" t="s">
        <v>448</v>
      </c>
      <c r="CI24" s="51" t="s">
        <v>432</v>
      </c>
      <c r="CJ24" s="51" t="s">
        <v>452</v>
      </c>
      <c r="CK24" s="51"/>
      <c r="CL24" s="51" t="s">
        <v>452</v>
      </c>
      <c r="CM24" s="51" t="s">
        <v>457</v>
      </c>
      <c r="CN24" s="51" t="s">
        <v>452</v>
      </c>
      <c r="CO24" s="51" t="s">
        <v>452</v>
      </c>
      <c r="CP24" s="51" t="s">
        <v>452</v>
      </c>
      <c r="CQ24" s="51" t="s">
        <v>452</v>
      </c>
      <c r="CR24" s="51" t="s">
        <v>473</v>
      </c>
      <c r="CS24" s="51" t="s">
        <v>452</v>
      </c>
      <c r="CT24" s="51"/>
      <c r="CU24" s="51"/>
      <c r="CV24" s="51"/>
      <c r="CW24" s="51"/>
      <c r="CX24" s="51" t="s">
        <v>452</v>
      </c>
      <c r="CZ24" s="153" t="str">
        <f t="shared" si="1"/>
        <v>Corrupción</v>
      </c>
      <c r="DA24" s="200" t="str">
        <f t="shared" si="2"/>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200"/>
      <c r="DC24" s="200"/>
      <c r="DD24" s="200"/>
      <c r="DE24" s="200"/>
      <c r="DF24" s="200"/>
      <c r="DG24" s="200"/>
      <c r="DH24" s="153" t="str">
        <f t="shared" si="3"/>
        <v>Alto</v>
      </c>
      <c r="DI24" s="153" t="str">
        <f t="shared" si="23"/>
        <v>Alto</v>
      </c>
      <c r="DK24" s="149" t="e">
        <f>SUM(LEN(#REF!)-LEN(SUBSTITUTE(#REF!,"- Preventivo","")))/LEN("- Preventivo")</f>
        <v>#REF!</v>
      </c>
      <c r="DL24" s="149" t="e">
        <f t="shared" si="5"/>
        <v>#REF!</v>
      </c>
      <c r="DM24" s="149" t="e">
        <f>SUM(LEN(#REF!)-LEN(SUBSTITUTE(#REF!,"- Detectivo","")))/LEN("- Detectivo")</f>
        <v>#REF!</v>
      </c>
      <c r="DN24" s="149" t="e">
        <f t="shared" si="6"/>
        <v>#REF!</v>
      </c>
      <c r="DO24" s="149" t="e">
        <f>SUM(LEN(#REF!)-LEN(SUBSTITUTE(#REF!,"- Correctivo","")))/LEN("- Correctivo")</f>
        <v>#REF!</v>
      </c>
      <c r="DP24" s="149" t="e">
        <f t="shared" si="7"/>
        <v>#REF!</v>
      </c>
      <c r="DQ24" s="149" t="e">
        <f t="shared" si="8"/>
        <v>#REF!</v>
      </c>
      <c r="DR24" s="149" t="e">
        <f t="shared" si="9"/>
        <v>#REF!</v>
      </c>
      <c r="DS24" s="149" t="e">
        <f>SUM(LEN(#REF!)-LEN(SUBSTITUTE(#REF!,"- Documentado","")))/LEN("- Documentado")</f>
        <v>#REF!</v>
      </c>
      <c r="DT24" s="149" t="e">
        <f>SUM(LEN(#REF!)-LEN(SUBSTITUTE(#REF!,"- Documentado","")))/LEN("- Documentado")</f>
        <v>#REF!</v>
      </c>
      <c r="DU24" s="149" t="e">
        <f t="shared" si="10"/>
        <v>#REF!</v>
      </c>
      <c r="DV24" s="149" t="e">
        <f>SUM(LEN(#REF!)-LEN(SUBSTITUTE(#REF!,"- Continua","")))/LEN("- Continua")</f>
        <v>#REF!</v>
      </c>
      <c r="DW24" s="149" t="e">
        <f>SUM(LEN(#REF!)-LEN(SUBSTITUTE(#REF!,"- Continua","")))/LEN("- Continua")</f>
        <v>#REF!</v>
      </c>
      <c r="DX24" s="149" t="e">
        <f t="shared" si="11"/>
        <v>#REF!</v>
      </c>
      <c r="DY24" s="149" t="e">
        <f>SUM(LEN(#REF!)-LEN(SUBSTITUTE(#REF!,"- Con registro","")))/LEN("- Con registro")</f>
        <v>#REF!</v>
      </c>
      <c r="DZ24" s="149" t="e">
        <f>SUM(LEN(#REF!)-LEN(SUBSTITUTE(#REF!,"- Con registro","")))/LEN("- Con registro")</f>
        <v>#REF!</v>
      </c>
      <c r="EA24" s="149" t="e">
        <f t="shared" si="12"/>
        <v>#REF!</v>
      </c>
      <c r="EB24" s="152" t="e">
        <f t="shared" si="13"/>
        <v>#REF!</v>
      </c>
      <c r="EC24" s="152" t="e">
        <f t="shared" si="14"/>
        <v>#REF!</v>
      </c>
      <c r="ED24" s="184" t="e">
        <f t="shared" si="15"/>
        <v>#REF!</v>
      </c>
      <c r="EE24" s="198" t="e">
        <f t="shared" si="16"/>
        <v>#REF!</v>
      </c>
      <c r="EF24" s="198"/>
      <c r="EG24" s="198"/>
      <c r="EH24" s="198"/>
      <c r="EI24" s="198"/>
      <c r="EJ24" s="198"/>
      <c r="EK24" s="198"/>
      <c r="EL24" s="198"/>
      <c r="EM24" s="198"/>
      <c r="EN24" s="198"/>
      <c r="EP24" s="172">
        <f t="shared" si="17"/>
        <v>45273</v>
      </c>
      <c r="EQ24" s="173">
        <f t="shared" si="18"/>
        <v>45320</v>
      </c>
      <c r="ER24" s="149" t="str">
        <f t="shared" si="19"/>
        <v>Riesgos</v>
      </c>
      <c r="ES24" s="149" t="str">
        <f t="shared" si="20"/>
        <v>ID_-: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24" s="149" t="str">
        <f t="shared" si="21"/>
        <v>Ajuste en 
Establecimiento de controles
Tratamiento del riesgo en el Mapa de riesgos de Gestión del Talento Humano</v>
      </c>
      <c r="EU24" s="149" t="str">
        <f t="shared" si="22"/>
        <v>Solicitud de cambio realizada y aprobada por la Dirección de Talento Humano a través del Aplicativo DARUMA</v>
      </c>
    </row>
    <row r="25" spans="1:151" ht="399.95" customHeight="1" x14ac:dyDescent="0.2">
      <c r="A25" s="177" t="s">
        <v>274</v>
      </c>
      <c r="B25" s="158" t="s">
        <v>408</v>
      </c>
      <c r="C25" s="158" t="s">
        <v>659</v>
      </c>
      <c r="D25" s="177" t="s">
        <v>409</v>
      </c>
      <c r="E25" s="178" t="s">
        <v>398</v>
      </c>
      <c r="F25" s="158" t="s">
        <v>660</v>
      </c>
      <c r="G25" s="178" t="s">
        <v>542</v>
      </c>
      <c r="H25" s="178" t="s">
        <v>542</v>
      </c>
      <c r="I25" s="154" t="s">
        <v>661</v>
      </c>
      <c r="J25" s="177" t="s">
        <v>63</v>
      </c>
      <c r="K25" s="178" t="s">
        <v>329</v>
      </c>
      <c r="L25" s="158" t="s">
        <v>257</v>
      </c>
      <c r="M25" s="164" t="s">
        <v>372</v>
      </c>
      <c r="N25" s="158" t="s">
        <v>373</v>
      </c>
      <c r="O25" s="158" t="s">
        <v>374</v>
      </c>
      <c r="P25" s="158" t="s">
        <v>410</v>
      </c>
      <c r="Q25" s="158" t="s">
        <v>325</v>
      </c>
      <c r="R25" s="158" t="s">
        <v>375</v>
      </c>
      <c r="S25" s="158" t="s">
        <v>426</v>
      </c>
      <c r="T25" s="158" t="s">
        <v>561</v>
      </c>
      <c r="U25" s="179" t="s">
        <v>311</v>
      </c>
      <c r="V25" s="180">
        <v>0.2</v>
      </c>
      <c r="W25" s="179" t="s">
        <v>51</v>
      </c>
      <c r="X25" s="180">
        <v>1</v>
      </c>
      <c r="Y25" s="66" t="s">
        <v>271</v>
      </c>
      <c r="Z25" s="158" t="s">
        <v>376</v>
      </c>
      <c r="AA25" s="179" t="s">
        <v>311</v>
      </c>
      <c r="AB25" s="182">
        <v>3.5279999999999999E-2</v>
      </c>
      <c r="AC25" s="179" t="s">
        <v>51</v>
      </c>
      <c r="AD25" s="182">
        <v>1</v>
      </c>
      <c r="AE25" s="66" t="s">
        <v>271</v>
      </c>
      <c r="AF25" s="158" t="s">
        <v>364</v>
      </c>
      <c r="AG25" s="177" t="s">
        <v>328</v>
      </c>
      <c r="AH25" s="181" t="s">
        <v>662</v>
      </c>
      <c r="AI25" s="181" t="s">
        <v>663</v>
      </c>
      <c r="AJ25" s="158" t="s">
        <v>542</v>
      </c>
      <c r="AK25" s="181" t="s">
        <v>542</v>
      </c>
      <c r="AL25" s="181" t="s">
        <v>664</v>
      </c>
      <c r="AM25" s="181" t="s">
        <v>665</v>
      </c>
      <c r="AN25" s="158" t="s">
        <v>666</v>
      </c>
      <c r="AO25" s="158" t="s">
        <v>667</v>
      </c>
      <c r="AP25" s="158" t="s">
        <v>668</v>
      </c>
      <c r="AQ25" s="159">
        <v>45261</v>
      </c>
      <c r="AR25" s="160" t="s">
        <v>567</v>
      </c>
      <c r="AS25" s="161" t="s">
        <v>669</v>
      </c>
      <c r="AT25" s="162"/>
      <c r="AU25" s="163"/>
      <c r="AV25" s="164"/>
      <c r="AW25" s="162"/>
      <c r="AX25" s="160"/>
      <c r="AY25" s="161"/>
      <c r="AZ25" s="162"/>
      <c r="BA25" s="163"/>
      <c r="BB25" s="164"/>
      <c r="BC25" s="162"/>
      <c r="BD25" s="160"/>
      <c r="BE25" s="161"/>
      <c r="BF25" s="162"/>
      <c r="BG25" s="163"/>
      <c r="BH25" s="164"/>
      <c r="BI25" s="162"/>
      <c r="BJ25" s="160"/>
      <c r="BK25" s="161"/>
      <c r="BL25" s="162"/>
      <c r="BM25" s="163"/>
      <c r="BN25" s="164"/>
      <c r="BO25" s="162"/>
      <c r="BP25" s="160"/>
      <c r="BQ25" s="161"/>
      <c r="BR25" s="162"/>
      <c r="BS25" s="163"/>
      <c r="BT25" s="164"/>
      <c r="BU25" s="162"/>
      <c r="BV25" s="160"/>
      <c r="BW25" s="161"/>
      <c r="BX25" s="162"/>
      <c r="BY25" s="163"/>
      <c r="BZ25" s="165"/>
      <c r="CA25" s="2">
        <f t="shared" si="0"/>
        <v>33</v>
      </c>
      <c r="CB25" s="51" t="s">
        <v>500</v>
      </c>
      <c r="CC25" s="51" t="s">
        <v>491</v>
      </c>
      <c r="CD25" s="51" t="s">
        <v>441</v>
      </c>
      <c r="CE25" s="51" t="s">
        <v>434</v>
      </c>
      <c r="CF25" s="51" t="s">
        <v>432</v>
      </c>
      <c r="CG25" s="51" t="s">
        <v>432</v>
      </c>
      <c r="CH25" s="51" t="s">
        <v>448</v>
      </c>
      <c r="CI25" s="51" t="s">
        <v>432</v>
      </c>
      <c r="CJ25" s="51" t="s">
        <v>452</v>
      </c>
      <c r="CK25" s="51" t="s">
        <v>454</v>
      </c>
      <c r="CL25" s="51" t="s">
        <v>452</v>
      </c>
      <c r="CM25" s="51" t="s">
        <v>457</v>
      </c>
      <c r="CN25" s="51" t="s">
        <v>452</v>
      </c>
      <c r="CO25" s="51" t="s">
        <v>452</v>
      </c>
      <c r="CP25" s="51" t="s">
        <v>452</v>
      </c>
      <c r="CQ25" s="51" t="s">
        <v>452</v>
      </c>
      <c r="CR25" s="51" t="s">
        <v>474</v>
      </c>
      <c r="CS25" s="51" t="s">
        <v>452</v>
      </c>
      <c r="CT25" s="51" t="s">
        <v>452</v>
      </c>
      <c r="CU25" s="51" t="s">
        <v>452</v>
      </c>
      <c r="CV25" s="51" t="s">
        <v>452</v>
      </c>
      <c r="CW25" s="51" t="s">
        <v>452</v>
      </c>
      <c r="CX25" s="51" t="s">
        <v>452</v>
      </c>
      <c r="CZ25" s="153" t="str">
        <f t="shared" si="1"/>
        <v>Corrupción</v>
      </c>
      <c r="DA25" s="200" t="str">
        <f t="shared" si="2"/>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200"/>
      <c r="DC25" s="200"/>
      <c r="DD25" s="200"/>
      <c r="DE25" s="200"/>
      <c r="DF25" s="200"/>
      <c r="DG25" s="200"/>
      <c r="DH25" s="153" t="str">
        <f t="shared" si="3"/>
        <v>Extremo</v>
      </c>
      <c r="DI25" s="153" t="str">
        <f t="shared" si="23"/>
        <v>Extremo</v>
      </c>
      <c r="DK25" s="149" t="e">
        <f>SUM(LEN(#REF!)-LEN(SUBSTITUTE(#REF!,"- Preventivo","")))/LEN("- Preventivo")</f>
        <v>#REF!</v>
      </c>
      <c r="DL25" s="149" t="e">
        <f t="shared" si="5"/>
        <v>#REF!</v>
      </c>
      <c r="DM25" s="149" t="e">
        <f>SUM(LEN(#REF!)-LEN(SUBSTITUTE(#REF!,"- Detectivo","")))/LEN("- Detectivo")</f>
        <v>#REF!</v>
      </c>
      <c r="DN25" s="149" t="e">
        <f t="shared" si="6"/>
        <v>#REF!</v>
      </c>
      <c r="DO25" s="149" t="e">
        <f>SUM(LEN(#REF!)-LEN(SUBSTITUTE(#REF!,"- Correctivo","")))/LEN("- Correctivo")</f>
        <v>#REF!</v>
      </c>
      <c r="DP25" s="149" t="e">
        <f t="shared" si="7"/>
        <v>#REF!</v>
      </c>
      <c r="DQ25" s="149" t="e">
        <f t="shared" si="8"/>
        <v>#REF!</v>
      </c>
      <c r="DR25" s="149" t="e">
        <f t="shared" si="9"/>
        <v>#REF!</v>
      </c>
      <c r="DS25" s="149" t="e">
        <f>SUM(LEN(#REF!)-LEN(SUBSTITUTE(#REF!,"- Documentado","")))/LEN("- Documentado")</f>
        <v>#REF!</v>
      </c>
      <c r="DT25" s="149" t="e">
        <f>SUM(LEN(#REF!)-LEN(SUBSTITUTE(#REF!,"- Documentado","")))/LEN("- Documentado")</f>
        <v>#REF!</v>
      </c>
      <c r="DU25" s="149" t="e">
        <f t="shared" si="10"/>
        <v>#REF!</v>
      </c>
      <c r="DV25" s="149" t="e">
        <f>SUM(LEN(#REF!)-LEN(SUBSTITUTE(#REF!,"- Continua","")))/LEN("- Continua")</f>
        <v>#REF!</v>
      </c>
      <c r="DW25" s="149" t="e">
        <f>SUM(LEN(#REF!)-LEN(SUBSTITUTE(#REF!,"- Continua","")))/LEN("- Continua")</f>
        <v>#REF!</v>
      </c>
      <c r="DX25" s="149" t="e">
        <f t="shared" si="11"/>
        <v>#REF!</v>
      </c>
      <c r="DY25" s="149" t="e">
        <f>SUM(LEN(#REF!)-LEN(SUBSTITUTE(#REF!,"- Con registro","")))/LEN("- Con registro")</f>
        <v>#REF!</v>
      </c>
      <c r="DZ25" s="149" t="e">
        <f>SUM(LEN(#REF!)-LEN(SUBSTITUTE(#REF!,"- Con registro","")))/LEN("- Con registro")</f>
        <v>#REF!</v>
      </c>
      <c r="EA25" s="149" t="e">
        <f t="shared" si="12"/>
        <v>#REF!</v>
      </c>
      <c r="EB25" s="152" t="e">
        <f t="shared" si="13"/>
        <v>#REF!</v>
      </c>
      <c r="EC25" s="152" t="e">
        <f t="shared" si="14"/>
        <v>#REF!</v>
      </c>
      <c r="ED25" s="184" t="e">
        <f t="shared" si="15"/>
        <v>#REF!</v>
      </c>
      <c r="EE25" s="198" t="e">
        <f t="shared" si="16"/>
        <v>#REF!</v>
      </c>
      <c r="EF25" s="198"/>
      <c r="EG25" s="198"/>
      <c r="EH25" s="198"/>
      <c r="EI25" s="198"/>
      <c r="EJ25" s="198"/>
      <c r="EK25" s="198"/>
      <c r="EL25" s="198"/>
      <c r="EM25" s="198"/>
      <c r="EN25" s="198"/>
      <c r="EP25" s="172">
        <f t="shared" si="17"/>
        <v>45261</v>
      </c>
      <c r="EQ25" s="173">
        <f t="shared" si="18"/>
        <v>45320</v>
      </c>
      <c r="ER25" s="149" t="str">
        <f t="shared" si="19"/>
        <v>Riesgos</v>
      </c>
      <c r="ES25" s="149" t="str">
        <f t="shared" si="20"/>
        <v xml:space="preserve">ID_-: 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25" s="149" t="str">
        <f t="shared" si="21"/>
        <v>Ajuste en 
Establecimiento de controles
Tratamiento del riesgo en el Mapa de riesgos de Gestión Financiera</v>
      </c>
      <c r="EU25" s="149" t="str">
        <f t="shared" si="22"/>
        <v>Solicitud de cambio realizada y aprobada por la Subdirección Financiera a través del Aplicativo DARUMA</v>
      </c>
    </row>
    <row r="26" spans="1:151" ht="399.95" customHeight="1" x14ac:dyDescent="0.2">
      <c r="A26" s="177" t="s">
        <v>274</v>
      </c>
      <c r="B26" s="158" t="s">
        <v>408</v>
      </c>
      <c r="C26" s="158" t="s">
        <v>659</v>
      </c>
      <c r="D26" s="177" t="s">
        <v>409</v>
      </c>
      <c r="E26" s="178" t="s">
        <v>398</v>
      </c>
      <c r="F26" s="158" t="s">
        <v>670</v>
      </c>
      <c r="G26" s="178" t="s">
        <v>542</v>
      </c>
      <c r="H26" s="178" t="s">
        <v>542</v>
      </c>
      <c r="I26" s="154" t="s">
        <v>733</v>
      </c>
      <c r="J26" s="177" t="s">
        <v>63</v>
      </c>
      <c r="K26" s="178" t="s">
        <v>329</v>
      </c>
      <c r="L26" s="158" t="s">
        <v>257</v>
      </c>
      <c r="M26" s="164" t="s">
        <v>377</v>
      </c>
      <c r="N26" s="158" t="s">
        <v>373</v>
      </c>
      <c r="O26" s="158" t="s">
        <v>378</v>
      </c>
      <c r="P26" s="158" t="s">
        <v>410</v>
      </c>
      <c r="Q26" s="158" t="s">
        <v>325</v>
      </c>
      <c r="R26" s="158" t="s">
        <v>379</v>
      </c>
      <c r="S26" s="158" t="s">
        <v>426</v>
      </c>
      <c r="T26" s="158" t="s">
        <v>561</v>
      </c>
      <c r="U26" s="179" t="s">
        <v>311</v>
      </c>
      <c r="V26" s="180">
        <v>0.2</v>
      </c>
      <c r="W26" s="179" t="s">
        <v>51</v>
      </c>
      <c r="X26" s="180">
        <v>1</v>
      </c>
      <c r="Y26" s="66" t="s">
        <v>271</v>
      </c>
      <c r="Z26" s="158" t="s">
        <v>376</v>
      </c>
      <c r="AA26" s="179" t="s">
        <v>311</v>
      </c>
      <c r="AB26" s="182">
        <v>3.5279999999999992E-2</v>
      </c>
      <c r="AC26" s="179" t="s">
        <v>51</v>
      </c>
      <c r="AD26" s="182">
        <v>1</v>
      </c>
      <c r="AE26" s="66" t="s">
        <v>271</v>
      </c>
      <c r="AF26" s="158" t="s">
        <v>364</v>
      </c>
      <c r="AG26" s="177" t="s">
        <v>328</v>
      </c>
      <c r="AH26" s="181" t="s">
        <v>671</v>
      </c>
      <c r="AI26" s="181" t="s">
        <v>663</v>
      </c>
      <c r="AJ26" s="158" t="s">
        <v>542</v>
      </c>
      <c r="AK26" s="181" t="s">
        <v>542</v>
      </c>
      <c r="AL26" s="181" t="s">
        <v>598</v>
      </c>
      <c r="AM26" s="181" t="s">
        <v>672</v>
      </c>
      <c r="AN26" s="158" t="s">
        <v>673</v>
      </c>
      <c r="AO26" s="158" t="s">
        <v>674</v>
      </c>
      <c r="AP26" s="158" t="s">
        <v>675</v>
      </c>
      <c r="AQ26" s="159">
        <v>45261</v>
      </c>
      <c r="AR26" s="160" t="s">
        <v>567</v>
      </c>
      <c r="AS26" s="161" t="s">
        <v>669</v>
      </c>
      <c r="AT26" s="162"/>
      <c r="AU26" s="163"/>
      <c r="AV26" s="164"/>
      <c r="AW26" s="162"/>
      <c r="AX26" s="160"/>
      <c r="AY26" s="161"/>
      <c r="AZ26" s="162"/>
      <c r="BA26" s="163"/>
      <c r="BB26" s="164"/>
      <c r="BC26" s="162"/>
      <c r="BD26" s="160"/>
      <c r="BE26" s="161"/>
      <c r="BF26" s="162"/>
      <c r="BG26" s="163"/>
      <c r="BH26" s="164"/>
      <c r="BI26" s="162"/>
      <c r="BJ26" s="160"/>
      <c r="BK26" s="161"/>
      <c r="BL26" s="162"/>
      <c r="BM26" s="163"/>
      <c r="BN26" s="164"/>
      <c r="BO26" s="162"/>
      <c r="BP26" s="160"/>
      <c r="BQ26" s="161"/>
      <c r="BR26" s="162"/>
      <c r="BS26" s="163"/>
      <c r="BT26" s="164"/>
      <c r="BU26" s="162"/>
      <c r="BV26" s="160"/>
      <c r="BW26" s="161"/>
      <c r="BX26" s="162"/>
      <c r="BY26" s="163"/>
      <c r="BZ26" s="165"/>
      <c r="CA26" s="2">
        <f t="shared" si="0"/>
        <v>33</v>
      </c>
      <c r="CB26" s="51" t="s">
        <v>500</v>
      </c>
      <c r="CC26" s="51" t="s">
        <v>491</v>
      </c>
      <c r="CD26" s="51" t="s">
        <v>441</v>
      </c>
      <c r="CE26" s="51" t="s">
        <v>434</v>
      </c>
      <c r="CF26" s="51" t="s">
        <v>432</v>
      </c>
      <c r="CG26" s="51" t="s">
        <v>432</v>
      </c>
      <c r="CH26" s="51" t="s">
        <v>448</v>
      </c>
      <c r="CI26" s="51" t="s">
        <v>432</v>
      </c>
      <c r="CJ26" s="51" t="s">
        <v>452</v>
      </c>
      <c r="CK26" s="51" t="s">
        <v>454</v>
      </c>
      <c r="CL26" s="51" t="s">
        <v>452</v>
      </c>
      <c r="CM26" s="51" t="s">
        <v>457</v>
      </c>
      <c r="CN26" s="51" t="s">
        <v>452</v>
      </c>
      <c r="CO26" s="51" t="s">
        <v>452</v>
      </c>
      <c r="CP26" s="51" t="s">
        <v>452</v>
      </c>
      <c r="CQ26" s="51" t="s">
        <v>452</v>
      </c>
      <c r="CR26" s="51" t="s">
        <v>474</v>
      </c>
      <c r="CS26" s="51" t="s">
        <v>452</v>
      </c>
      <c r="CT26" s="51" t="s">
        <v>452</v>
      </c>
      <c r="CU26" s="51" t="s">
        <v>452</v>
      </c>
      <c r="CV26" s="51" t="s">
        <v>452</v>
      </c>
      <c r="CW26" s="51" t="s">
        <v>452</v>
      </c>
      <c r="CX26" s="51" t="s">
        <v>452</v>
      </c>
      <c r="CZ26" s="153" t="str">
        <f t="shared" si="1"/>
        <v>Corrupción</v>
      </c>
      <c r="DA26" s="200" t="str">
        <f t="shared" si="2"/>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200"/>
      <c r="DC26" s="200"/>
      <c r="DD26" s="200"/>
      <c r="DE26" s="200"/>
      <c r="DF26" s="200"/>
      <c r="DG26" s="200"/>
      <c r="DH26" s="153" t="str">
        <f t="shared" si="3"/>
        <v>Extremo</v>
      </c>
      <c r="DI26" s="153" t="str">
        <f t="shared" si="23"/>
        <v>Extremo</v>
      </c>
      <c r="DK26" s="149" t="e">
        <f>SUM(LEN(#REF!)-LEN(SUBSTITUTE(#REF!,"- Preventivo","")))/LEN("- Preventivo")</f>
        <v>#REF!</v>
      </c>
      <c r="DL26" s="149" t="e">
        <f t="shared" si="5"/>
        <v>#REF!</v>
      </c>
      <c r="DM26" s="149" t="e">
        <f>SUM(LEN(#REF!)-LEN(SUBSTITUTE(#REF!,"- Detectivo","")))/LEN("- Detectivo")</f>
        <v>#REF!</v>
      </c>
      <c r="DN26" s="149" t="e">
        <f t="shared" si="6"/>
        <v>#REF!</v>
      </c>
      <c r="DO26" s="149" t="e">
        <f>SUM(LEN(#REF!)-LEN(SUBSTITUTE(#REF!,"- Correctivo","")))/LEN("- Correctivo")</f>
        <v>#REF!</v>
      </c>
      <c r="DP26" s="149" t="e">
        <f t="shared" si="7"/>
        <v>#REF!</v>
      </c>
      <c r="DQ26" s="149" t="e">
        <f t="shared" si="8"/>
        <v>#REF!</v>
      </c>
      <c r="DR26" s="149" t="e">
        <f t="shared" si="9"/>
        <v>#REF!</v>
      </c>
      <c r="DS26" s="149" t="e">
        <f>SUM(LEN(#REF!)-LEN(SUBSTITUTE(#REF!,"- Documentado","")))/LEN("- Documentado")</f>
        <v>#REF!</v>
      </c>
      <c r="DT26" s="149" t="e">
        <f>SUM(LEN(#REF!)-LEN(SUBSTITUTE(#REF!,"- Documentado","")))/LEN("- Documentado")</f>
        <v>#REF!</v>
      </c>
      <c r="DU26" s="149" t="e">
        <f t="shared" si="10"/>
        <v>#REF!</v>
      </c>
      <c r="DV26" s="149" t="e">
        <f>SUM(LEN(#REF!)-LEN(SUBSTITUTE(#REF!,"- Continua","")))/LEN("- Continua")</f>
        <v>#REF!</v>
      </c>
      <c r="DW26" s="149" t="e">
        <f>SUM(LEN(#REF!)-LEN(SUBSTITUTE(#REF!,"- Continua","")))/LEN("- Continua")</f>
        <v>#REF!</v>
      </c>
      <c r="DX26" s="149" t="e">
        <f t="shared" si="11"/>
        <v>#REF!</v>
      </c>
      <c r="DY26" s="149" t="e">
        <f>SUM(LEN(#REF!)-LEN(SUBSTITUTE(#REF!,"- Con registro","")))/LEN("- Con registro")</f>
        <v>#REF!</v>
      </c>
      <c r="DZ26" s="149" t="e">
        <f>SUM(LEN(#REF!)-LEN(SUBSTITUTE(#REF!,"- Con registro","")))/LEN("- Con registro")</f>
        <v>#REF!</v>
      </c>
      <c r="EA26" s="149" t="e">
        <f t="shared" si="12"/>
        <v>#REF!</v>
      </c>
      <c r="EB26" s="152" t="e">
        <f t="shared" si="13"/>
        <v>#REF!</v>
      </c>
      <c r="EC26" s="152" t="e">
        <f t="shared" si="14"/>
        <v>#REF!</v>
      </c>
      <c r="ED26" s="184" t="e">
        <f t="shared" si="15"/>
        <v>#REF!</v>
      </c>
      <c r="EE26" s="198" t="e">
        <f t="shared" si="16"/>
        <v>#REF!</v>
      </c>
      <c r="EF26" s="198"/>
      <c r="EG26" s="198"/>
      <c r="EH26" s="198"/>
      <c r="EI26" s="198"/>
      <c r="EJ26" s="198"/>
      <c r="EK26" s="198"/>
      <c r="EL26" s="198"/>
      <c r="EM26" s="198"/>
      <c r="EN26" s="198"/>
      <c r="EP26" s="172">
        <f t="shared" si="17"/>
        <v>45261</v>
      </c>
      <c r="EQ26" s="173">
        <f t="shared" si="18"/>
        <v>45320</v>
      </c>
      <c r="ER26" s="149" t="str">
        <f t="shared" si="19"/>
        <v>Riesgos</v>
      </c>
      <c r="ES26" s="149" t="str">
        <f t="shared" si="20"/>
        <v xml:space="preserve">ID_-: Posibilidad de afectación reputacional por hallazgos y sanciones impuestas por órganos de control, debido a uso indebido de información privilegiada para el inadecuado registro de los hechos económicos, con el fin de obtener beneficios propios o de terceros  </v>
      </c>
      <c r="ET26" s="149" t="str">
        <f t="shared" si="21"/>
        <v>Ajuste en 
Establecimiento de controles
Tratamiento del riesgo en el Mapa de riesgos de Gestión Financiera</v>
      </c>
      <c r="EU26" s="149" t="str">
        <f t="shared" si="22"/>
        <v>Solicitud de cambio realizada y aprobada por la Subdirección Financiera a través del Aplicativo DARUMA</v>
      </c>
    </row>
    <row r="27" spans="1:151" ht="399.95" customHeight="1" x14ac:dyDescent="0.2">
      <c r="A27" s="177" t="s">
        <v>275</v>
      </c>
      <c r="B27" s="158" t="s">
        <v>676</v>
      </c>
      <c r="C27" s="158" t="s">
        <v>677</v>
      </c>
      <c r="D27" s="177" t="s">
        <v>383</v>
      </c>
      <c r="E27" s="178" t="s">
        <v>398</v>
      </c>
      <c r="F27" s="158" t="s">
        <v>678</v>
      </c>
      <c r="G27" s="178" t="s">
        <v>542</v>
      </c>
      <c r="H27" s="178" t="s">
        <v>542</v>
      </c>
      <c r="I27" s="154" t="s">
        <v>679</v>
      </c>
      <c r="J27" s="177" t="s">
        <v>63</v>
      </c>
      <c r="K27" s="178" t="s">
        <v>329</v>
      </c>
      <c r="L27" s="158" t="s">
        <v>680</v>
      </c>
      <c r="M27" s="164" t="s">
        <v>681</v>
      </c>
      <c r="N27" s="158" t="s">
        <v>366</v>
      </c>
      <c r="O27" s="158" t="s">
        <v>682</v>
      </c>
      <c r="P27" s="158" t="s">
        <v>330</v>
      </c>
      <c r="Q27" s="158" t="s">
        <v>325</v>
      </c>
      <c r="R27" s="158" t="s">
        <v>331</v>
      </c>
      <c r="S27" s="158" t="s">
        <v>426</v>
      </c>
      <c r="T27" s="158" t="s">
        <v>561</v>
      </c>
      <c r="U27" s="179" t="s">
        <v>311</v>
      </c>
      <c r="V27" s="180">
        <v>0.2</v>
      </c>
      <c r="W27" s="179" t="s">
        <v>77</v>
      </c>
      <c r="X27" s="180">
        <v>0.8</v>
      </c>
      <c r="Y27" s="66" t="s">
        <v>270</v>
      </c>
      <c r="Z27" s="158" t="s">
        <v>340</v>
      </c>
      <c r="AA27" s="179" t="s">
        <v>311</v>
      </c>
      <c r="AB27" s="182">
        <v>3.0239999999999996E-2</v>
      </c>
      <c r="AC27" s="179" t="s">
        <v>77</v>
      </c>
      <c r="AD27" s="182">
        <v>0.8</v>
      </c>
      <c r="AE27" s="66" t="s">
        <v>270</v>
      </c>
      <c r="AF27" s="158" t="s">
        <v>341</v>
      </c>
      <c r="AG27" s="177" t="s">
        <v>328</v>
      </c>
      <c r="AH27" s="181" t="s">
        <v>683</v>
      </c>
      <c r="AI27" s="181" t="s">
        <v>684</v>
      </c>
      <c r="AJ27" s="158" t="s">
        <v>542</v>
      </c>
      <c r="AK27" s="181" t="s">
        <v>542</v>
      </c>
      <c r="AL27" s="183" t="s">
        <v>726</v>
      </c>
      <c r="AM27" s="183" t="s">
        <v>739</v>
      </c>
      <c r="AN27" s="158" t="s">
        <v>685</v>
      </c>
      <c r="AO27" s="158" t="s">
        <v>686</v>
      </c>
      <c r="AP27" s="158" t="s">
        <v>687</v>
      </c>
      <c r="AQ27" s="159">
        <v>45266</v>
      </c>
      <c r="AR27" s="160" t="s">
        <v>577</v>
      </c>
      <c r="AS27" s="161" t="s">
        <v>688</v>
      </c>
      <c r="AT27" s="162"/>
      <c r="AU27" s="163"/>
      <c r="AV27" s="164"/>
      <c r="AW27" s="162"/>
      <c r="AX27" s="160"/>
      <c r="AY27" s="161"/>
      <c r="AZ27" s="162"/>
      <c r="BA27" s="163"/>
      <c r="BB27" s="164"/>
      <c r="BC27" s="162"/>
      <c r="BD27" s="160"/>
      <c r="BE27" s="161"/>
      <c r="BF27" s="162"/>
      <c r="BG27" s="163"/>
      <c r="BH27" s="164"/>
      <c r="BI27" s="162"/>
      <c r="BJ27" s="160"/>
      <c r="BK27" s="161"/>
      <c r="BL27" s="162"/>
      <c r="BM27" s="163"/>
      <c r="BN27" s="164"/>
      <c r="BO27" s="162"/>
      <c r="BP27" s="160"/>
      <c r="BQ27" s="161"/>
      <c r="BR27" s="162"/>
      <c r="BS27" s="163"/>
      <c r="BT27" s="164"/>
      <c r="BU27" s="162"/>
      <c r="BV27" s="160"/>
      <c r="BW27" s="161"/>
      <c r="BX27" s="162"/>
      <c r="BY27" s="160"/>
      <c r="BZ27" s="165"/>
      <c r="CA27" s="2">
        <f t="shared" si="0"/>
        <v>33</v>
      </c>
      <c r="CB27" s="51" t="s">
        <v>495</v>
      </c>
      <c r="CC27" s="51" t="s">
        <v>496</v>
      </c>
      <c r="CD27" s="51" t="s">
        <v>442</v>
      </c>
      <c r="CE27" s="51" t="s">
        <v>452</v>
      </c>
      <c r="CF27" s="51" t="s">
        <v>432</v>
      </c>
      <c r="CG27" s="51" t="s">
        <v>432</v>
      </c>
      <c r="CH27" s="51" t="s">
        <v>448</v>
      </c>
      <c r="CI27" s="51" t="s">
        <v>432</v>
      </c>
      <c r="CJ27" s="51" t="s">
        <v>452</v>
      </c>
      <c r="CK27" s="51"/>
      <c r="CL27" s="51" t="s">
        <v>452</v>
      </c>
      <c r="CM27" s="51" t="s">
        <v>457</v>
      </c>
      <c r="CN27" s="51" t="s">
        <v>452</v>
      </c>
      <c r="CO27" s="51" t="s">
        <v>452</v>
      </c>
      <c r="CP27" s="51" t="s">
        <v>452</v>
      </c>
      <c r="CQ27" s="51" t="s">
        <v>452</v>
      </c>
      <c r="CR27" s="51" t="s">
        <v>475</v>
      </c>
      <c r="CS27" s="51" t="s">
        <v>452</v>
      </c>
      <c r="CT27" s="51" t="s">
        <v>452</v>
      </c>
      <c r="CU27" s="51" t="s">
        <v>452</v>
      </c>
      <c r="CV27" s="51" t="s">
        <v>452</v>
      </c>
      <c r="CW27" s="51" t="s">
        <v>452</v>
      </c>
      <c r="CX27" s="51" t="s">
        <v>452</v>
      </c>
      <c r="CZ27" s="153" t="str">
        <f t="shared" si="1"/>
        <v>Corrupción</v>
      </c>
      <c r="DA27" s="200" t="str">
        <f t="shared" si="2"/>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DB27" s="200"/>
      <c r="DC27" s="200"/>
      <c r="DD27" s="200"/>
      <c r="DE27" s="200"/>
      <c r="DF27" s="200"/>
      <c r="DG27" s="200"/>
      <c r="DH27" s="153" t="str">
        <f t="shared" si="3"/>
        <v>Alto</v>
      </c>
      <c r="DI27" s="153" t="str">
        <f t="shared" ref="DI27:DI31" si="24">AE27</f>
        <v>Alto</v>
      </c>
      <c r="DK27" s="149" t="e">
        <f>SUM(LEN(#REF!)-LEN(SUBSTITUTE(#REF!,"- Preventivo","")))/LEN("- Preventivo")</f>
        <v>#REF!</v>
      </c>
      <c r="DL27" s="149" t="e">
        <f t="shared" si="5"/>
        <v>#REF!</v>
      </c>
      <c r="DM27" s="149" t="e">
        <f>SUM(LEN(#REF!)-LEN(SUBSTITUTE(#REF!,"- Detectivo","")))/LEN("- Detectivo")</f>
        <v>#REF!</v>
      </c>
      <c r="DN27" s="149" t="e">
        <f t="shared" si="6"/>
        <v>#REF!</v>
      </c>
      <c r="DO27" s="149" t="e">
        <f>SUM(LEN(#REF!)-LEN(SUBSTITUTE(#REF!,"- Correctivo","")))/LEN("- Correctivo")</f>
        <v>#REF!</v>
      </c>
      <c r="DP27" s="149" t="e">
        <f t="shared" si="7"/>
        <v>#REF!</v>
      </c>
      <c r="DQ27" s="149" t="e">
        <f t="shared" si="8"/>
        <v>#REF!</v>
      </c>
      <c r="DR27" s="149" t="e">
        <f t="shared" si="9"/>
        <v>#REF!</v>
      </c>
      <c r="DS27" s="149" t="e">
        <f>SUM(LEN(#REF!)-LEN(SUBSTITUTE(#REF!,"- Documentado","")))/LEN("- Documentado")</f>
        <v>#REF!</v>
      </c>
      <c r="DT27" s="149" t="e">
        <f>SUM(LEN(#REF!)-LEN(SUBSTITUTE(#REF!,"- Documentado","")))/LEN("- Documentado")</f>
        <v>#REF!</v>
      </c>
      <c r="DU27" s="149" t="e">
        <f t="shared" si="10"/>
        <v>#REF!</v>
      </c>
      <c r="DV27" s="149" t="e">
        <f>SUM(LEN(#REF!)-LEN(SUBSTITUTE(#REF!,"- Continua","")))/LEN("- Continua")</f>
        <v>#REF!</v>
      </c>
      <c r="DW27" s="149" t="e">
        <f>SUM(LEN(#REF!)-LEN(SUBSTITUTE(#REF!,"- Continua","")))/LEN("- Continua")</f>
        <v>#REF!</v>
      </c>
      <c r="DX27" s="149" t="e">
        <f t="shared" si="11"/>
        <v>#REF!</v>
      </c>
      <c r="DY27" s="149" t="e">
        <f>SUM(LEN(#REF!)-LEN(SUBSTITUTE(#REF!,"- Con registro","")))/LEN("- Con registro")</f>
        <v>#REF!</v>
      </c>
      <c r="DZ27" s="149" t="e">
        <f>SUM(LEN(#REF!)-LEN(SUBSTITUTE(#REF!,"- Con registro","")))/LEN("- Con registro")</f>
        <v>#REF!</v>
      </c>
      <c r="EA27" s="149" t="e">
        <f t="shared" si="12"/>
        <v>#REF!</v>
      </c>
      <c r="EB27" s="152" t="e">
        <f t="shared" si="13"/>
        <v>#REF!</v>
      </c>
      <c r="EC27" s="152" t="e">
        <f t="shared" si="14"/>
        <v>#REF!</v>
      </c>
      <c r="ED27" s="184" t="e">
        <f t="shared" si="15"/>
        <v>#REF!</v>
      </c>
      <c r="EE27" s="198" t="e">
        <f t="shared" si="16"/>
        <v>#REF!</v>
      </c>
      <c r="EF27" s="198"/>
      <c r="EG27" s="198"/>
      <c r="EH27" s="198"/>
      <c r="EI27" s="198"/>
      <c r="EJ27" s="198"/>
      <c r="EK27" s="198"/>
      <c r="EL27" s="198"/>
      <c r="EM27" s="198"/>
      <c r="EN27" s="198"/>
      <c r="EP27" s="172">
        <f t="shared" si="17"/>
        <v>45266</v>
      </c>
      <c r="EQ27" s="173">
        <f t="shared" si="18"/>
        <v>45320</v>
      </c>
      <c r="ER27" s="149" t="str">
        <f t="shared" si="19"/>
        <v>Riesgos</v>
      </c>
      <c r="ES27" s="149" t="str">
        <f t="shared" si="20"/>
        <v>ID_-: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ET27" s="149" t="str">
        <f t="shared" si="21"/>
        <v>Ajuste en Identificación del riesgo
Establecimiento de controles
Tratamiento del riesgo en el Mapa de riesgos de Gestión Jurídica</v>
      </c>
      <c r="EU27" s="149" t="str">
        <f t="shared" si="22"/>
        <v>Solicitud de cambio realizada y aprobada por la Oficina Jurídica  a través del Aplicativo DARUMA</v>
      </c>
    </row>
    <row r="28" spans="1:151" ht="399.95" customHeight="1" x14ac:dyDescent="0.2">
      <c r="A28" s="177" t="s">
        <v>411</v>
      </c>
      <c r="B28" s="158" t="s">
        <v>412</v>
      </c>
      <c r="C28" s="158" t="s">
        <v>413</v>
      </c>
      <c r="D28" s="177" t="s">
        <v>689</v>
      </c>
      <c r="E28" s="178" t="s">
        <v>38</v>
      </c>
      <c r="F28" s="158" t="s">
        <v>414</v>
      </c>
      <c r="G28" s="178" t="s">
        <v>542</v>
      </c>
      <c r="H28" s="178" t="s">
        <v>542</v>
      </c>
      <c r="I28" s="154" t="s">
        <v>693</v>
      </c>
      <c r="J28" s="177" t="s">
        <v>63</v>
      </c>
      <c r="K28" s="178" t="s">
        <v>326</v>
      </c>
      <c r="L28" s="158" t="s">
        <v>690</v>
      </c>
      <c r="M28" s="164" t="s">
        <v>356</v>
      </c>
      <c r="N28" s="158" t="s">
        <v>355</v>
      </c>
      <c r="O28" s="158" t="s">
        <v>694</v>
      </c>
      <c r="P28" s="158" t="s">
        <v>353</v>
      </c>
      <c r="Q28" s="158" t="s">
        <v>691</v>
      </c>
      <c r="R28" s="158" t="s">
        <v>695</v>
      </c>
      <c r="S28" s="158" t="s">
        <v>426</v>
      </c>
      <c r="T28" s="158" t="s">
        <v>561</v>
      </c>
      <c r="U28" s="179" t="s">
        <v>311</v>
      </c>
      <c r="V28" s="180">
        <v>0.2</v>
      </c>
      <c r="W28" s="179" t="s">
        <v>77</v>
      </c>
      <c r="X28" s="180">
        <v>0.8</v>
      </c>
      <c r="Y28" s="66" t="s">
        <v>270</v>
      </c>
      <c r="Z28" s="158" t="s">
        <v>696</v>
      </c>
      <c r="AA28" s="179" t="s">
        <v>311</v>
      </c>
      <c r="AB28" s="182">
        <v>5.8799999999999991E-2</v>
      </c>
      <c r="AC28" s="179" t="s">
        <v>77</v>
      </c>
      <c r="AD28" s="182">
        <v>0.8</v>
      </c>
      <c r="AE28" s="66" t="s">
        <v>270</v>
      </c>
      <c r="AF28" s="158" t="s">
        <v>357</v>
      </c>
      <c r="AG28" s="177" t="s">
        <v>328</v>
      </c>
      <c r="AH28" s="181" t="s">
        <v>697</v>
      </c>
      <c r="AI28" s="181" t="s">
        <v>698</v>
      </c>
      <c r="AJ28" s="181" t="s">
        <v>542</v>
      </c>
      <c r="AK28" s="181" t="s">
        <v>542</v>
      </c>
      <c r="AL28" s="181" t="s">
        <v>726</v>
      </c>
      <c r="AM28" s="181" t="s">
        <v>587</v>
      </c>
      <c r="AN28" s="158" t="s">
        <v>699</v>
      </c>
      <c r="AO28" s="158" t="s">
        <v>700</v>
      </c>
      <c r="AP28" s="158" t="s">
        <v>701</v>
      </c>
      <c r="AQ28" s="159">
        <v>45253</v>
      </c>
      <c r="AR28" s="160" t="s">
        <v>342</v>
      </c>
      <c r="AS28" s="161" t="s">
        <v>702</v>
      </c>
      <c r="AT28" s="162"/>
      <c r="AU28" s="163"/>
      <c r="AV28" s="164"/>
      <c r="AW28" s="162"/>
      <c r="AX28" s="160"/>
      <c r="AY28" s="161"/>
      <c r="AZ28" s="162"/>
      <c r="BA28" s="163"/>
      <c r="BB28" s="164"/>
      <c r="BC28" s="162"/>
      <c r="BD28" s="160"/>
      <c r="BE28" s="161"/>
      <c r="BF28" s="162"/>
      <c r="BG28" s="163"/>
      <c r="BH28" s="164"/>
      <c r="BI28" s="162"/>
      <c r="BJ28" s="160"/>
      <c r="BK28" s="161"/>
      <c r="BL28" s="162"/>
      <c r="BM28" s="163"/>
      <c r="BN28" s="164"/>
      <c r="BO28" s="162"/>
      <c r="BP28" s="160"/>
      <c r="BQ28" s="161"/>
      <c r="BR28" s="162"/>
      <c r="BS28" s="163"/>
      <c r="BT28" s="164"/>
      <c r="BU28" s="162"/>
      <c r="BV28" s="160"/>
      <c r="BW28" s="161"/>
      <c r="BX28" s="162"/>
      <c r="BY28" s="163"/>
      <c r="BZ28" s="165"/>
      <c r="CA28" s="2">
        <f t="shared" si="0"/>
        <v>33</v>
      </c>
      <c r="CB28" s="51" t="s">
        <v>482</v>
      </c>
      <c r="CC28" s="51" t="s">
        <v>483</v>
      </c>
      <c r="CD28" s="51" t="s">
        <v>443</v>
      </c>
      <c r="CE28" s="51" t="s">
        <v>452</v>
      </c>
      <c r="CF28" s="51" t="s">
        <v>432</v>
      </c>
      <c r="CG28" s="51" t="s">
        <v>432</v>
      </c>
      <c r="CH28" s="51" t="s">
        <v>448</v>
      </c>
      <c r="CI28" s="51" t="s">
        <v>432</v>
      </c>
      <c r="CJ28" s="51" t="s">
        <v>452</v>
      </c>
      <c r="CK28" s="51"/>
      <c r="CL28" s="51" t="s">
        <v>452</v>
      </c>
      <c r="CM28" s="51" t="s">
        <v>457</v>
      </c>
      <c r="CN28" s="51" t="s">
        <v>452</v>
      </c>
      <c r="CO28" s="51" t="s">
        <v>452</v>
      </c>
      <c r="CP28" s="51" t="s">
        <v>452</v>
      </c>
      <c r="CQ28" s="51" t="s">
        <v>452</v>
      </c>
      <c r="CR28" s="51" t="s">
        <v>476</v>
      </c>
      <c r="CS28" s="51" t="s">
        <v>452</v>
      </c>
      <c r="CT28" s="51" t="s">
        <v>452</v>
      </c>
      <c r="CU28" s="51" t="s">
        <v>452</v>
      </c>
      <c r="CV28" s="51" t="s">
        <v>452</v>
      </c>
      <c r="CW28" s="51" t="s">
        <v>452</v>
      </c>
      <c r="CX28" s="51" t="s">
        <v>452</v>
      </c>
      <c r="CZ28" s="153" t="str">
        <f t="shared" si="1"/>
        <v>Corrupción</v>
      </c>
      <c r="DA28" s="200" t="str">
        <f t="shared" si="2"/>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DB28" s="200"/>
      <c r="DC28" s="200"/>
      <c r="DD28" s="200"/>
      <c r="DE28" s="200"/>
      <c r="DF28" s="200"/>
      <c r="DG28" s="200"/>
      <c r="DH28" s="153" t="str">
        <f t="shared" si="3"/>
        <v>Alto</v>
      </c>
      <c r="DI28" s="153" t="str">
        <f t="shared" si="24"/>
        <v>Alto</v>
      </c>
      <c r="DK28" s="149" t="e">
        <f>SUM(LEN(#REF!)-LEN(SUBSTITUTE(#REF!,"- Preventivo","")))/LEN("- Preventivo")</f>
        <v>#REF!</v>
      </c>
      <c r="DL28" s="149" t="e">
        <f t="shared" si="5"/>
        <v>#REF!</v>
      </c>
      <c r="DM28" s="149" t="e">
        <f>SUM(LEN(#REF!)-LEN(SUBSTITUTE(#REF!,"- Detectivo","")))/LEN("- Detectivo")</f>
        <v>#REF!</v>
      </c>
      <c r="DN28" s="149" t="e">
        <f t="shared" si="6"/>
        <v>#REF!</v>
      </c>
      <c r="DO28" s="149" t="e">
        <f>SUM(LEN(#REF!)-LEN(SUBSTITUTE(#REF!,"- Correctivo","")))/LEN("- Correctivo")</f>
        <v>#REF!</v>
      </c>
      <c r="DP28" s="149" t="e">
        <f t="shared" si="7"/>
        <v>#REF!</v>
      </c>
      <c r="DQ28" s="149" t="e">
        <f t="shared" ref="DQ28:DQ31" si="25">DK28+DM28+DO28</f>
        <v>#REF!</v>
      </c>
      <c r="DR28" s="149" t="e">
        <f t="shared" si="9"/>
        <v>#REF!</v>
      </c>
      <c r="DS28" s="149" t="e">
        <f>SUM(LEN(#REF!)-LEN(SUBSTITUTE(#REF!,"- Documentado","")))/LEN("- Documentado")</f>
        <v>#REF!</v>
      </c>
      <c r="DT28" s="149" t="e">
        <f>SUM(LEN(#REF!)-LEN(SUBSTITUTE(#REF!,"- Documentado","")))/LEN("- Documentado")</f>
        <v>#REF!</v>
      </c>
      <c r="DU28" s="149" t="e">
        <f t="shared" si="10"/>
        <v>#REF!</v>
      </c>
      <c r="DV28" s="149" t="e">
        <f>SUM(LEN(#REF!)-LEN(SUBSTITUTE(#REF!,"- Continua","")))/LEN("- Continua")</f>
        <v>#REF!</v>
      </c>
      <c r="DW28" s="149" t="e">
        <f>SUM(LEN(#REF!)-LEN(SUBSTITUTE(#REF!,"- Continua","")))/LEN("- Continua")</f>
        <v>#REF!</v>
      </c>
      <c r="DX28" s="149" t="e">
        <f t="shared" si="11"/>
        <v>#REF!</v>
      </c>
      <c r="DY28" s="149" t="e">
        <f>SUM(LEN(#REF!)-LEN(SUBSTITUTE(#REF!,"- Con registro","")))/LEN("- Con registro")</f>
        <v>#REF!</v>
      </c>
      <c r="DZ28" s="149" t="e">
        <f>SUM(LEN(#REF!)-LEN(SUBSTITUTE(#REF!,"- Con registro","")))/LEN("- Con registro")</f>
        <v>#REF!</v>
      </c>
      <c r="EA28" s="149" t="e">
        <f t="shared" si="12"/>
        <v>#REF!</v>
      </c>
      <c r="EB28" s="152" t="e">
        <f t="shared" ref="EB28:EB31" si="26">CONCATENATE("El proceso estableció ",DR28," controles frente a los riesgos identificados, de los cuales:
")</f>
        <v>#REF!</v>
      </c>
      <c r="EC28" s="152" t="e">
        <f t="shared" ref="EC28:EC31" si="27">CONCATENATE("- ",DL28," son preventivos, ",DN28," detectivos y ",DP28," correctivos.
")</f>
        <v>#REF!</v>
      </c>
      <c r="ED28" s="184" t="e">
        <f t="shared" ref="ED28:ED31" si="28">CONCATENATE("- ",DU28," están documentados, ",DX28," se aplican continuamente de acuerdo con la periodicidad establecida y en ",EA28," se deja registro de la aplicación.")</f>
        <v>#REF!</v>
      </c>
      <c r="EE28" s="198" t="e">
        <f t="shared" ref="EE28:EE31" si="29">CONCATENATE(EB28,EC28,ED28)</f>
        <v>#REF!</v>
      </c>
      <c r="EF28" s="198"/>
      <c r="EG28" s="198"/>
      <c r="EH28" s="198"/>
      <c r="EI28" s="198"/>
      <c r="EJ28" s="198"/>
      <c r="EK28" s="198"/>
      <c r="EL28" s="198"/>
      <c r="EM28" s="198"/>
      <c r="EN28" s="198"/>
      <c r="EP28" s="172">
        <f t="shared" ref="EP28:EP31" si="30">IF(AQ28&gt;=$EP$1,AQ28,IF(AT28&gt;=$EP$1,AT28,IF(AW28&gt;=$EP$1,AW28,IF(AZ28&gt;=$EP$1,AZ28,IF(BC28&gt;=$EP$1,BC28,IF(BF28&gt;=$EP$1,BF28,IF(BI28&gt;=$EP$1,BI28,IF(BL28&gt;=$EP$1,BL28,IF(BO28&gt;=$EP$1,BO28,IF(BR28&gt;=$EP$1,BR28,IF(BU28&gt;=$EP$1,BU28,IF(BX28&gt;=$EP$1,BX28,""))))))))))))</f>
        <v>45253</v>
      </c>
      <c r="EQ28" s="173">
        <f t="shared" ref="EQ28:EQ31" si="31">IF(EP28="","",$B$6)</f>
        <v>45320</v>
      </c>
      <c r="ER28" s="149" t="str">
        <f t="shared" ref="ER28:ER31" si="32">IF(EQ28="","","Riesgos")</f>
        <v>Riesgos</v>
      </c>
      <c r="ES28" s="149" t="str">
        <f t="shared" si="20"/>
        <v>ID_-: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ET28" s="149" t="str">
        <f t="shared" si="21"/>
        <v>Ajuste en Identificación del riesgo
Análisis antes de controles
Tratamiento del riesgo en el Mapa de riesgos de Gobierno Abierto y Relacionamiento con la Ciudadanía</v>
      </c>
      <c r="EU28" s="149" t="str">
        <f t="shared" si="22"/>
        <v>Solicitud de cambio realizada y aprobada por la Dirección del Sistema Distrital de Servicio a la Ciudadanía a través del Aplicativo DARUMA</v>
      </c>
    </row>
    <row r="29" spans="1:151" ht="399.95" customHeight="1" x14ac:dyDescent="0.2">
      <c r="A29" s="177" t="s">
        <v>411</v>
      </c>
      <c r="B29" s="158" t="s">
        <v>412</v>
      </c>
      <c r="C29" s="158" t="s">
        <v>413</v>
      </c>
      <c r="D29" s="177" t="s">
        <v>689</v>
      </c>
      <c r="E29" s="178" t="s">
        <v>38</v>
      </c>
      <c r="F29" s="158" t="s">
        <v>415</v>
      </c>
      <c r="G29" s="178" t="s">
        <v>542</v>
      </c>
      <c r="H29" s="178" t="s">
        <v>542</v>
      </c>
      <c r="I29" s="154" t="s">
        <v>358</v>
      </c>
      <c r="J29" s="177" t="s">
        <v>63</v>
      </c>
      <c r="K29" s="178" t="s">
        <v>324</v>
      </c>
      <c r="L29" s="158" t="s">
        <v>692</v>
      </c>
      <c r="M29" s="164" t="s">
        <v>354</v>
      </c>
      <c r="N29" s="158" t="s">
        <v>355</v>
      </c>
      <c r="O29" s="158" t="s">
        <v>359</v>
      </c>
      <c r="P29" s="158" t="s">
        <v>353</v>
      </c>
      <c r="Q29" s="158" t="s">
        <v>325</v>
      </c>
      <c r="R29" s="158" t="s">
        <v>347</v>
      </c>
      <c r="S29" s="158" t="s">
        <v>426</v>
      </c>
      <c r="T29" s="158" t="s">
        <v>561</v>
      </c>
      <c r="U29" s="179" t="s">
        <v>311</v>
      </c>
      <c r="V29" s="180">
        <v>0.2</v>
      </c>
      <c r="W29" s="179" t="s">
        <v>101</v>
      </c>
      <c r="X29" s="180">
        <v>0.6</v>
      </c>
      <c r="Y29" s="66" t="s">
        <v>84</v>
      </c>
      <c r="Z29" s="158" t="s">
        <v>360</v>
      </c>
      <c r="AA29" s="179" t="s">
        <v>311</v>
      </c>
      <c r="AB29" s="182">
        <v>8.3999999999999991E-2</v>
      </c>
      <c r="AC29" s="179" t="s">
        <v>101</v>
      </c>
      <c r="AD29" s="182">
        <v>0.6</v>
      </c>
      <c r="AE29" s="66" t="s">
        <v>84</v>
      </c>
      <c r="AF29" s="158" t="s">
        <v>361</v>
      </c>
      <c r="AG29" s="177" t="s">
        <v>328</v>
      </c>
      <c r="AH29" s="181" t="s">
        <v>703</v>
      </c>
      <c r="AI29" s="181" t="s">
        <v>704</v>
      </c>
      <c r="AJ29" s="181" t="s">
        <v>542</v>
      </c>
      <c r="AK29" s="181" t="s">
        <v>542</v>
      </c>
      <c r="AL29" s="181" t="s">
        <v>726</v>
      </c>
      <c r="AM29" s="181" t="s">
        <v>665</v>
      </c>
      <c r="AN29" s="158" t="s">
        <v>705</v>
      </c>
      <c r="AO29" s="158" t="s">
        <v>706</v>
      </c>
      <c r="AP29" s="158" t="s">
        <v>707</v>
      </c>
      <c r="AQ29" s="159">
        <v>45253</v>
      </c>
      <c r="AR29" s="160" t="s">
        <v>336</v>
      </c>
      <c r="AS29" s="161" t="s">
        <v>708</v>
      </c>
      <c r="AT29" s="162"/>
      <c r="AU29" s="163"/>
      <c r="AV29" s="164"/>
      <c r="AW29" s="162"/>
      <c r="AX29" s="160"/>
      <c r="AY29" s="161"/>
      <c r="AZ29" s="162"/>
      <c r="BA29" s="163"/>
      <c r="BB29" s="164"/>
      <c r="BC29" s="162"/>
      <c r="BD29" s="160"/>
      <c r="BE29" s="161"/>
      <c r="BF29" s="162"/>
      <c r="BG29" s="163"/>
      <c r="BH29" s="164"/>
      <c r="BI29" s="162"/>
      <c r="BJ29" s="160"/>
      <c r="BK29" s="161"/>
      <c r="BL29" s="162"/>
      <c r="BM29" s="163"/>
      <c r="BN29" s="164"/>
      <c r="BO29" s="162"/>
      <c r="BP29" s="160"/>
      <c r="BQ29" s="161"/>
      <c r="BR29" s="162"/>
      <c r="BS29" s="160"/>
      <c r="BT29" s="161"/>
      <c r="BU29" s="162"/>
      <c r="BV29" s="160"/>
      <c r="BW29" s="161"/>
      <c r="BX29" s="162"/>
      <c r="BY29" s="163"/>
      <c r="BZ29" s="165"/>
      <c r="CA29" s="2">
        <f t="shared" si="0"/>
        <v>33</v>
      </c>
      <c r="CB29" s="51" t="s">
        <v>482</v>
      </c>
      <c r="CC29" s="51" t="s">
        <v>483</v>
      </c>
      <c r="CD29" s="51" t="s">
        <v>443</v>
      </c>
      <c r="CE29" s="51" t="s">
        <v>452</v>
      </c>
      <c r="CF29" s="51" t="s">
        <v>432</v>
      </c>
      <c r="CG29" s="51" t="s">
        <v>432</v>
      </c>
      <c r="CH29" s="51" t="s">
        <v>448</v>
      </c>
      <c r="CI29" s="51" t="s">
        <v>432</v>
      </c>
      <c r="CJ29" s="51" t="s">
        <v>452</v>
      </c>
      <c r="CK29" s="51"/>
      <c r="CL29" s="51" t="s">
        <v>452</v>
      </c>
      <c r="CM29" s="51" t="s">
        <v>457</v>
      </c>
      <c r="CN29" s="51" t="s">
        <v>452</v>
      </c>
      <c r="CO29" s="51" t="s">
        <v>452</v>
      </c>
      <c r="CP29" s="51" t="s">
        <v>452</v>
      </c>
      <c r="CQ29" s="51" t="s">
        <v>452</v>
      </c>
      <c r="CR29" s="51" t="s">
        <v>477</v>
      </c>
      <c r="CS29" s="51" t="s">
        <v>452</v>
      </c>
      <c r="CT29" s="51" t="s">
        <v>452</v>
      </c>
      <c r="CU29" s="51" t="s">
        <v>452</v>
      </c>
      <c r="CV29" s="51" t="s">
        <v>452</v>
      </c>
      <c r="CW29" s="51" t="s">
        <v>452</v>
      </c>
      <c r="CX29" s="51" t="s">
        <v>452</v>
      </c>
      <c r="CZ29" s="153" t="str">
        <f t="shared" si="1"/>
        <v>Corrupción</v>
      </c>
      <c r="DA29" s="200" t="str">
        <f t="shared" si="2"/>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200"/>
      <c r="DC29" s="200"/>
      <c r="DD29" s="200"/>
      <c r="DE29" s="200"/>
      <c r="DF29" s="200"/>
      <c r="DG29" s="200"/>
      <c r="DH29" s="153" t="str">
        <f t="shared" si="3"/>
        <v>Moderado</v>
      </c>
      <c r="DI29" s="153" t="str">
        <f t="shared" si="24"/>
        <v>Moderado</v>
      </c>
      <c r="DK29" s="149" t="e">
        <f>SUM(LEN(#REF!)-LEN(SUBSTITUTE(#REF!,"- Preventivo","")))/LEN("- Preventivo")</f>
        <v>#REF!</v>
      </c>
      <c r="DL29" s="149" t="e">
        <f t="shared" si="5"/>
        <v>#REF!</v>
      </c>
      <c r="DM29" s="149" t="e">
        <f>SUM(LEN(#REF!)-LEN(SUBSTITUTE(#REF!,"- Detectivo","")))/LEN("- Detectivo")</f>
        <v>#REF!</v>
      </c>
      <c r="DN29" s="149" t="e">
        <f t="shared" si="6"/>
        <v>#REF!</v>
      </c>
      <c r="DO29" s="149" t="e">
        <f>SUM(LEN(#REF!)-LEN(SUBSTITUTE(#REF!,"- Correctivo","")))/LEN("- Correctivo")</f>
        <v>#REF!</v>
      </c>
      <c r="DP29" s="149" t="e">
        <f t="shared" si="7"/>
        <v>#REF!</v>
      </c>
      <c r="DQ29" s="149" t="e">
        <f t="shared" si="25"/>
        <v>#REF!</v>
      </c>
      <c r="DR29" s="149" t="e">
        <f t="shared" si="9"/>
        <v>#REF!</v>
      </c>
      <c r="DS29" s="149" t="e">
        <f>SUM(LEN(#REF!)-LEN(SUBSTITUTE(#REF!,"- Documentado","")))/LEN("- Documentado")</f>
        <v>#REF!</v>
      </c>
      <c r="DT29" s="149" t="e">
        <f>SUM(LEN(#REF!)-LEN(SUBSTITUTE(#REF!,"- Documentado","")))/LEN("- Documentado")</f>
        <v>#REF!</v>
      </c>
      <c r="DU29" s="149" t="e">
        <f t="shared" si="10"/>
        <v>#REF!</v>
      </c>
      <c r="DV29" s="149" t="e">
        <f>SUM(LEN(#REF!)-LEN(SUBSTITUTE(#REF!,"- Continua","")))/LEN("- Continua")</f>
        <v>#REF!</v>
      </c>
      <c r="DW29" s="149" t="e">
        <f>SUM(LEN(#REF!)-LEN(SUBSTITUTE(#REF!,"- Continua","")))/LEN("- Continua")</f>
        <v>#REF!</v>
      </c>
      <c r="DX29" s="149" t="e">
        <f t="shared" si="11"/>
        <v>#REF!</v>
      </c>
      <c r="DY29" s="149" t="e">
        <f>SUM(LEN(#REF!)-LEN(SUBSTITUTE(#REF!,"- Con registro","")))/LEN("- Con registro")</f>
        <v>#REF!</v>
      </c>
      <c r="DZ29" s="149" t="e">
        <f>SUM(LEN(#REF!)-LEN(SUBSTITUTE(#REF!,"- Con registro","")))/LEN("- Con registro")</f>
        <v>#REF!</v>
      </c>
      <c r="EA29" s="149" t="e">
        <f t="shared" si="12"/>
        <v>#REF!</v>
      </c>
      <c r="EB29" s="152" t="e">
        <f t="shared" si="26"/>
        <v>#REF!</v>
      </c>
      <c r="EC29" s="152" t="e">
        <f t="shared" si="27"/>
        <v>#REF!</v>
      </c>
      <c r="ED29" s="184" t="e">
        <f t="shared" si="28"/>
        <v>#REF!</v>
      </c>
      <c r="EE29" s="198" t="e">
        <f t="shared" si="29"/>
        <v>#REF!</v>
      </c>
      <c r="EF29" s="198"/>
      <c r="EG29" s="198"/>
      <c r="EH29" s="198"/>
      <c r="EI29" s="198"/>
      <c r="EJ29" s="198"/>
      <c r="EK29" s="198"/>
      <c r="EL29" s="198"/>
      <c r="EM29" s="198"/>
      <c r="EN29" s="198"/>
      <c r="EP29" s="172">
        <f t="shared" si="30"/>
        <v>45253</v>
      </c>
      <c r="EQ29" s="173">
        <f t="shared" si="31"/>
        <v>45320</v>
      </c>
      <c r="ER29" s="149" t="str">
        <f t="shared" si="32"/>
        <v>Riesgos</v>
      </c>
      <c r="ES29" s="149" t="str">
        <f t="shared" si="20"/>
        <v>ID_-: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29" s="149" t="str">
        <f t="shared" si="21"/>
        <v>Ajuste en 
Tratamiento del riesgo en el Mapa de riesgos de Gobierno Abierto y Relacionamiento con la Ciudadanía</v>
      </c>
      <c r="EU29" s="149" t="str">
        <f t="shared" si="22"/>
        <v>Solicitud de cambio realizada y aprobada por la Dirección Distrital de Calidad del Servicio  a través del Aplicativo DARUMA</v>
      </c>
    </row>
    <row r="30" spans="1:151" ht="399.95" customHeight="1" x14ac:dyDescent="0.2">
      <c r="A30" s="177" t="s">
        <v>411</v>
      </c>
      <c r="B30" s="158" t="s">
        <v>412</v>
      </c>
      <c r="C30" s="158" t="s">
        <v>413</v>
      </c>
      <c r="D30" s="177" t="s">
        <v>689</v>
      </c>
      <c r="E30" s="178" t="s">
        <v>38</v>
      </c>
      <c r="F30" s="158" t="s">
        <v>416</v>
      </c>
      <c r="G30" s="178" t="s">
        <v>542</v>
      </c>
      <c r="H30" s="178" t="s">
        <v>542</v>
      </c>
      <c r="I30" s="154" t="s">
        <v>711</v>
      </c>
      <c r="J30" s="177" t="s">
        <v>63</v>
      </c>
      <c r="K30" s="178" t="s">
        <v>326</v>
      </c>
      <c r="L30" s="158" t="s">
        <v>709</v>
      </c>
      <c r="M30" s="164" t="s">
        <v>354</v>
      </c>
      <c r="N30" s="158" t="s">
        <v>355</v>
      </c>
      <c r="O30" s="158" t="s">
        <v>417</v>
      </c>
      <c r="P30" s="158" t="s">
        <v>353</v>
      </c>
      <c r="Q30" s="158" t="s">
        <v>710</v>
      </c>
      <c r="R30" s="158" t="s">
        <v>327</v>
      </c>
      <c r="S30" s="158" t="s">
        <v>426</v>
      </c>
      <c r="T30" s="158" t="s">
        <v>561</v>
      </c>
      <c r="U30" s="179" t="s">
        <v>311</v>
      </c>
      <c r="V30" s="180">
        <v>0.2</v>
      </c>
      <c r="W30" s="179" t="s">
        <v>51</v>
      </c>
      <c r="X30" s="180">
        <v>1</v>
      </c>
      <c r="Y30" s="66" t="s">
        <v>271</v>
      </c>
      <c r="Z30" s="158" t="s">
        <v>712</v>
      </c>
      <c r="AA30" s="179" t="s">
        <v>311</v>
      </c>
      <c r="AB30" s="182">
        <v>5.04E-2</v>
      </c>
      <c r="AC30" s="179" t="s">
        <v>51</v>
      </c>
      <c r="AD30" s="182">
        <v>1</v>
      </c>
      <c r="AE30" s="66" t="s">
        <v>271</v>
      </c>
      <c r="AF30" s="158" t="s">
        <v>713</v>
      </c>
      <c r="AG30" s="177" t="s">
        <v>328</v>
      </c>
      <c r="AH30" s="181" t="s">
        <v>714</v>
      </c>
      <c r="AI30" s="181" t="s">
        <v>715</v>
      </c>
      <c r="AJ30" s="158" t="s">
        <v>542</v>
      </c>
      <c r="AK30" s="181" t="s">
        <v>542</v>
      </c>
      <c r="AL30" s="181" t="s">
        <v>726</v>
      </c>
      <c r="AM30" s="181" t="s">
        <v>587</v>
      </c>
      <c r="AN30" s="158" t="s">
        <v>716</v>
      </c>
      <c r="AO30" s="158" t="s">
        <v>717</v>
      </c>
      <c r="AP30" s="158" t="s">
        <v>718</v>
      </c>
      <c r="AQ30" s="159">
        <v>45253</v>
      </c>
      <c r="AR30" s="160" t="s">
        <v>342</v>
      </c>
      <c r="AS30" s="161" t="s">
        <v>719</v>
      </c>
      <c r="AT30" s="162"/>
      <c r="AU30" s="163"/>
      <c r="AV30" s="164"/>
      <c r="AW30" s="162"/>
      <c r="AX30" s="160"/>
      <c r="AY30" s="161"/>
      <c r="AZ30" s="162"/>
      <c r="BA30" s="163"/>
      <c r="BB30" s="164"/>
      <c r="BC30" s="162"/>
      <c r="BD30" s="160"/>
      <c r="BE30" s="161"/>
      <c r="BF30" s="162"/>
      <c r="BG30" s="163"/>
      <c r="BH30" s="164"/>
      <c r="BI30" s="162"/>
      <c r="BJ30" s="160"/>
      <c r="BK30" s="161"/>
      <c r="BL30" s="162"/>
      <c r="BM30" s="163"/>
      <c r="BN30" s="164"/>
      <c r="BO30" s="162"/>
      <c r="BP30" s="160"/>
      <c r="BQ30" s="161"/>
      <c r="BR30" s="162"/>
      <c r="BS30" s="163"/>
      <c r="BT30" s="164"/>
      <c r="BU30" s="162"/>
      <c r="BV30" s="160"/>
      <c r="BW30" s="161"/>
      <c r="BX30" s="162"/>
      <c r="BY30" s="163"/>
      <c r="BZ30" s="165"/>
      <c r="CA30" s="2">
        <f t="shared" si="0"/>
        <v>33</v>
      </c>
      <c r="CB30" s="51" t="s">
        <v>499</v>
      </c>
      <c r="CC30" s="51" t="s">
        <v>484</v>
      </c>
      <c r="CD30" s="51" t="s">
        <v>443</v>
      </c>
      <c r="CE30" s="51" t="s">
        <v>434</v>
      </c>
      <c r="CF30" s="51" t="s">
        <v>432</v>
      </c>
      <c r="CG30" s="51" t="s">
        <v>432</v>
      </c>
      <c r="CH30" s="51" t="s">
        <v>448</v>
      </c>
      <c r="CI30" s="51" t="s">
        <v>432</v>
      </c>
      <c r="CJ30" s="51" t="s">
        <v>452</v>
      </c>
      <c r="CK30" s="51"/>
      <c r="CL30" s="51" t="s">
        <v>452</v>
      </c>
      <c r="CM30" s="51" t="s">
        <v>457</v>
      </c>
      <c r="CN30" s="51" t="s">
        <v>452</v>
      </c>
      <c r="CO30" s="51" t="s">
        <v>452</v>
      </c>
      <c r="CP30" s="51" t="s">
        <v>452</v>
      </c>
      <c r="CQ30" s="51" t="s">
        <v>452</v>
      </c>
      <c r="CR30" s="51" t="s">
        <v>477</v>
      </c>
      <c r="CS30" s="51" t="s">
        <v>452</v>
      </c>
      <c r="CT30" s="51" t="s">
        <v>452</v>
      </c>
      <c r="CU30" s="51" t="s">
        <v>452</v>
      </c>
      <c r="CV30" s="51" t="s">
        <v>452</v>
      </c>
      <c r="CW30" s="51" t="s">
        <v>452</v>
      </c>
      <c r="CX30" s="51" t="s">
        <v>452</v>
      </c>
      <c r="CZ30" s="153" t="str">
        <f t="shared" si="1"/>
        <v>Corrupción</v>
      </c>
      <c r="DA30" s="200" t="str">
        <f t="shared" si="2"/>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DB30" s="200"/>
      <c r="DC30" s="200"/>
      <c r="DD30" s="200"/>
      <c r="DE30" s="200"/>
      <c r="DF30" s="200"/>
      <c r="DG30" s="200"/>
      <c r="DH30" s="153" t="str">
        <f t="shared" si="3"/>
        <v>Extremo</v>
      </c>
      <c r="DI30" s="153" t="str">
        <f t="shared" si="24"/>
        <v>Extremo</v>
      </c>
      <c r="DK30" s="149" t="e">
        <f>SUM(LEN(#REF!)-LEN(SUBSTITUTE(#REF!,"- Preventivo","")))/LEN("- Preventivo")</f>
        <v>#REF!</v>
      </c>
      <c r="DL30" s="149" t="e">
        <f t="shared" si="5"/>
        <v>#REF!</v>
      </c>
      <c r="DM30" s="149" t="e">
        <f>SUM(LEN(#REF!)-LEN(SUBSTITUTE(#REF!,"- Detectivo","")))/LEN("- Detectivo")</f>
        <v>#REF!</v>
      </c>
      <c r="DN30" s="149" t="e">
        <f t="shared" si="6"/>
        <v>#REF!</v>
      </c>
      <c r="DO30" s="149" t="e">
        <f>SUM(LEN(#REF!)-LEN(SUBSTITUTE(#REF!,"- Correctivo","")))/LEN("- Correctivo")</f>
        <v>#REF!</v>
      </c>
      <c r="DP30" s="149" t="e">
        <f t="shared" si="7"/>
        <v>#REF!</v>
      </c>
      <c r="DQ30" s="149" t="e">
        <f t="shared" si="25"/>
        <v>#REF!</v>
      </c>
      <c r="DR30" s="149" t="e">
        <f t="shared" si="9"/>
        <v>#REF!</v>
      </c>
      <c r="DS30" s="149" t="e">
        <f>SUM(LEN(#REF!)-LEN(SUBSTITUTE(#REF!,"- Documentado","")))/LEN("- Documentado")</f>
        <v>#REF!</v>
      </c>
      <c r="DT30" s="149" t="e">
        <f>SUM(LEN(#REF!)-LEN(SUBSTITUTE(#REF!,"- Documentado","")))/LEN("- Documentado")</f>
        <v>#REF!</v>
      </c>
      <c r="DU30" s="149" t="e">
        <f t="shared" si="10"/>
        <v>#REF!</v>
      </c>
      <c r="DV30" s="149" t="e">
        <f>SUM(LEN(#REF!)-LEN(SUBSTITUTE(#REF!,"- Continua","")))/LEN("- Continua")</f>
        <v>#REF!</v>
      </c>
      <c r="DW30" s="149" t="e">
        <f>SUM(LEN(#REF!)-LEN(SUBSTITUTE(#REF!,"- Continua","")))/LEN("- Continua")</f>
        <v>#REF!</v>
      </c>
      <c r="DX30" s="149" t="e">
        <f t="shared" si="11"/>
        <v>#REF!</v>
      </c>
      <c r="DY30" s="149" t="e">
        <f>SUM(LEN(#REF!)-LEN(SUBSTITUTE(#REF!,"- Con registro","")))/LEN("- Con registro")</f>
        <v>#REF!</v>
      </c>
      <c r="DZ30" s="149" t="e">
        <f>SUM(LEN(#REF!)-LEN(SUBSTITUTE(#REF!,"- Con registro","")))/LEN("- Con registro")</f>
        <v>#REF!</v>
      </c>
      <c r="EA30" s="149" t="e">
        <f t="shared" si="12"/>
        <v>#REF!</v>
      </c>
      <c r="EB30" s="152" t="e">
        <f t="shared" si="26"/>
        <v>#REF!</v>
      </c>
      <c r="EC30" s="152" t="e">
        <f t="shared" si="27"/>
        <v>#REF!</v>
      </c>
      <c r="ED30" s="184" t="e">
        <f t="shared" si="28"/>
        <v>#REF!</v>
      </c>
      <c r="EE30" s="198" t="e">
        <f t="shared" si="29"/>
        <v>#REF!</v>
      </c>
      <c r="EF30" s="198"/>
      <c r="EG30" s="198"/>
      <c r="EH30" s="198"/>
      <c r="EI30" s="198"/>
      <c r="EJ30" s="198"/>
      <c r="EK30" s="198"/>
      <c r="EL30" s="198"/>
      <c r="EM30" s="198"/>
      <c r="EN30" s="198"/>
      <c r="EP30" s="172">
        <f t="shared" si="30"/>
        <v>45253</v>
      </c>
      <c r="EQ30" s="173">
        <f t="shared" si="31"/>
        <v>45320</v>
      </c>
      <c r="ER30" s="149" t="str">
        <f t="shared" si="32"/>
        <v>Riesgos</v>
      </c>
      <c r="ES30" s="149" t="str">
        <f t="shared" si="20"/>
        <v>ID_-: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ET30" s="149" t="str">
        <f t="shared" si="21"/>
        <v>Ajuste en Identificación del riesgo
Análisis antes de controles
Tratamiento del riesgo en el Mapa de riesgos de Gobierno Abierto y Relacionamiento con la Ciudadanía</v>
      </c>
      <c r="EU30" s="149" t="str">
        <f t="shared" si="22"/>
        <v>Solicitud de cambio realizada y aprobada por la Oficina de Alta Consejería Distrital de Tecnologías de Información y Comunicaciones –TIC a través del Aplicativo DARUMA</v>
      </c>
    </row>
    <row r="31" spans="1:151" ht="399.95" customHeight="1" x14ac:dyDescent="0.2">
      <c r="A31" s="177" t="s">
        <v>418</v>
      </c>
      <c r="B31" s="158" t="s">
        <v>419</v>
      </c>
      <c r="C31" s="158" t="s">
        <v>420</v>
      </c>
      <c r="D31" s="177" t="s">
        <v>421</v>
      </c>
      <c r="E31" s="178" t="s">
        <v>38</v>
      </c>
      <c r="F31" s="158" t="s">
        <v>422</v>
      </c>
      <c r="G31" s="178" t="s">
        <v>542</v>
      </c>
      <c r="H31" s="178" t="s">
        <v>542</v>
      </c>
      <c r="I31" s="154" t="s">
        <v>381</v>
      </c>
      <c r="J31" s="177" t="s">
        <v>63</v>
      </c>
      <c r="K31" s="178" t="s">
        <v>326</v>
      </c>
      <c r="L31" s="158" t="s">
        <v>429</v>
      </c>
      <c r="M31" s="164" t="s">
        <v>720</v>
      </c>
      <c r="N31" s="158" t="s">
        <v>382</v>
      </c>
      <c r="O31" s="158" t="s">
        <v>721</v>
      </c>
      <c r="P31" s="158" t="s">
        <v>380</v>
      </c>
      <c r="Q31" s="158" t="s">
        <v>722</v>
      </c>
      <c r="R31" s="158" t="s">
        <v>604</v>
      </c>
      <c r="S31" s="158" t="s">
        <v>427</v>
      </c>
      <c r="T31" s="158" t="s">
        <v>723</v>
      </c>
      <c r="U31" s="179" t="s">
        <v>311</v>
      </c>
      <c r="V31" s="180">
        <v>0.2</v>
      </c>
      <c r="W31" s="179" t="s">
        <v>77</v>
      </c>
      <c r="X31" s="180">
        <v>0.8</v>
      </c>
      <c r="Y31" s="66" t="s">
        <v>270</v>
      </c>
      <c r="Z31" s="158" t="s">
        <v>340</v>
      </c>
      <c r="AA31" s="179" t="s">
        <v>311</v>
      </c>
      <c r="AB31" s="182">
        <v>1.210104E-2</v>
      </c>
      <c r="AC31" s="179" t="s">
        <v>77</v>
      </c>
      <c r="AD31" s="182">
        <v>0.8</v>
      </c>
      <c r="AE31" s="66" t="s">
        <v>270</v>
      </c>
      <c r="AF31" s="158" t="s">
        <v>736</v>
      </c>
      <c r="AG31" s="177" t="s">
        <v>328</v>
      </c>
      <c r="AH31" s="158" t="s">
        <v>724</v>
      </c>
      <c r="AI31" s="158" t="s">
        <v>725</v>
      </c>
      <c r="AJ31" s="158" t="s">
        <v>542</v>
      </c>
      <c r="AK31" s="158" t="s">
        <v>542</v>
      </c>
      <c r="AL31" s="158" t="s">
        <v>726</v>
      </c>
      <c r="AM31" s="158" t="s">
        <v>727</v>
      </c>
      <c r="AN31" s="158" t="s">
        <v>728</v>
      </c>
      <c r="AO31" s="158" t="s">
        <v>729</v>
      </c>
      <c r="AP31" s="158" t="s">
        <v>730</v>
      </c>
      <c r="AQ31" s="159">
        <v>45261</v>
      </c>
      <c r="AR31" s="160" t="s">
        <v>731</v>
      </c>
      <c r="AS31" s="161" t="s">
        <v>732</v>
      </c>
      <c r="AT31" s="162"/>
      <c r="AU31" s="163"/>
      <c r="AV31" s="164"/>
      <c r="AW31" s="162"/>
      <c r="AX31" s="160"/>
      <c r="AY31" s="161"/>
      <c r="AZ31" s="162"/>
      <c r="BA31" s="163"/>
      <c r="BB31" s="164"/>
      <c r="BC31" s="162"/>
      <c r="BD31" s="160"/>
      <c r="BE31" s="161"/>
      <c r="BF31" s="162"/>
      <c r="BG31" s="163"/>
      <c r="BH31" s="164"/>
      <c r="BI31" s="162"/>
      <c r="BJ31" s="160"/>
      <c r="BK31" s="161"/>
      <c r="BL31" s="162"/>
      <c r="BM31" s="163"/>
      <c r="BN31" s="164"/>
      <c r="BO31" s="162"/>
      <c r="BP31" s="160"/>
      <c r="BQ31" s="161"/>
      <c r="BR31" s="162"/>
      <c r="BS31" s="163"/>
      <c r="BT31" s="164"/>
      <c r="BU31" s="162"/>
      <c r="BV31" s="160"/>
      <c r="BW31" s="161"/>
      <c r="BX31" s="162"/>
      <c r="BY31" s="163"/>
      <c r="BZ31" s="165"/>
      <c r="CA31" s="2">
        <f t="shared" si="0"/>
        <v>33</v>
      </c>
      <c r="CB31" s="51" t="s">
        <v>493</v>
      </c>
      <c r="CC31" s="51" t="s">
        <v>494</v>
      </c>
      <c r="CD31" s="51" t="s">
        <v>444</v>
      </c>
      <c r="CE31" s="51" t="s">
        <v>434</v>
      </c>
      <c r="CF31" s="51" t="s">
        <v>432</v>
      </c>
      <c r="CG31" s="51" t="s">
        <v>432</v>
      </c>
      <c r="CH31" s="51" t="s">
        <v>448</v>
      </c>
      <c r="CI31" s="51" t="s">
        <v>432</v>
      </c>
      <c r="CJ31" s="51" t="s">
        <v>452</v>
      </c>
      <c r="CK31" s="51"/>
      <c r="CL31" s="51" t="s">
        <v>452</v>
      </c>
      <c r="CM31" s="51" t="s">
        <v>458</v>
      </c>
      <c r="CN31" s="51" t="s">
        <v>452</v>
      </c>
      <c r="CO31" s="51" t="s">
        <v>452</v>
      </c>
      <c r="CP31" s="51" t="s">
        <v>452</v>
      </c>
      <c r="CQ31" s="51" t="s">
        <v>452</v>
      </c>
      <c r="CR31" s="51" t="s">
        <v>478</v>
      </c>
      <c r="CS31" s="51" t="s">
        <v>452</v>
      </c>
      <c r="CT31" s="51" t="s">
        <v>452</v>
      </c>
      <c r="CU31" s="51" t="s">
        <v>452</v>
      </c>
      <c r="CV31" s="51" t="s">
        <v>452</v>
      </c>
      <c r="CW31" s="51" t="s">
        <v>452</v>
      </c>
      <c r="CX31" s="51" t="s">
        <v>452</v>
      </c>
      <c r="CZ31" s="153" t="str">
        <f t="shared" si="1"/>
        <v>Corrupción</v>
      </c>
      <c r="DA31" s="200" t="str">
        <f t="shared" si="2"/>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200"/>
      <c r="DC31" s="200"/>
      <c r="DD31" s="200"/>
      <c r="DE31" s="200"/>
      <c r="DF31" s="200"/>
      <c r="DG31" s="200"/>
      <c r="DH31" s="153" t="str">
        <f t="shared" si="3"/>
        <v>Alto</v>
      </c>
      <c r="DI31" s="153" t="str">
        <f t="shared" si="24"/>
        <v>Alto</v>
      </c>
      <c r="DK31" s="149" t="e">
        <f>SUM(LEN(#REF!)-LEN(SUBSTITUTE(#REF!,"- Preventivo","")))/LEN("- Preventivo")</f>
        <v>#REF!</v>
      </c>
      <c r="DL31" s="149" t="e">
        <f t="shared" si="5"/>
        <v>#REF!</v>
      </c>
      <c r="DM31" s="149" t="e">
        <f>SUM(LEN(#REF!)-LEN(SUBSTITUTE(#REF!,"- Detectivo","")))/LEN("- Detectivo")</f>
        <v>#REF!</v>
      </c>
      <c r="DN31" s="149" t="e">
        <f t="shared" si="6"/>
        <v>#REF!</v>
      </c>
      <c r="DO31" s="149" t="e">
        <f>SUM(LEN(#REF!)-LEN(SUBSTITUTE(#REF!,"- Correctivo","")))/LEN("- Correctivo")</f>
        <v>#REF!</v>
      </c>
      <c r="DP31" s="149" t="e">
        <f t="shared" si="7"/>
        <v>#REF!</v>
      </c>
      <c r="DQ31" s="149" t="e">
        <f t="shared" si="25"/>
        <v>#REF!</v>
      </c>
      <c r="DR31" s="149" t="e">
        <f t="shared" si="9"/>
        <v>#REF!</v>
      </c>
      <c r="DS31" s="149" t="e">
        <f>SUM(LEN(#REF!)-LEN(SUBSTITUTE(#REF!,"- Documentado","")))/LEN("- Documentado")</f>
        <v>#REF!</v>
      </c>
      <c r="DT31" s="149" t="e">
        <f>SUM(LEN(#REF!)-LEN(SUBSTITUTE(#REF!,"- Documentado","")))/LEN("- Documentado")</f>
        <v>#REF!</v>
      </c>
      <c r="DU31" s="149" t="e">
        <f t="shared" si="10"/>
        <v>#REF!</v>
      </c>
      <c r="DV31" s="149" t="e">
        <f>SUM(LEN(#REF!)-LEN(SUBSTITUTE(#REF!,"- Continua","")))/LEN("- Continua")</f>
        <v>#REF!</v>
      </c>
      <c r="DW31" s="149" t="e">
        <f>SUM(LEN(#REF!)-LEN(SUBSTITUTE(#REF!,"- Continua","")))/LEN("- Continua")</f>
        <v>#REF!</v>
      </c>
      <c r="DX31" s="149" t="e">
        <f t="shared" si="11"/>
        <v>#REF!</v>
      </c>
      <c r="DY31" s="149" t="e">
        <f>SUM(LEN(#REF!)-LEN(SUBSTITUTE(#REF!,"- Con registro","")))/LEN("- Con registro")</f>
        <v>#REF!</v>
      </c>
      <c r="DZ31" s="149" t="e">
        <f>SUM(LEN(#REF!)-LEN(SUBSTITUTE(#REF!,"- Con registro","")))/LEN("- Con registro")</f>
        <v>#REF!</v>
      </c>
      <c r="EA31" s="149" t="e">
        <f t="shared" si="12"/>
        <v>#REF!</v>
      </c>
      <c r="EB31" s="152" t="e">
        <f t="shared" si="26"/>
        <v>#REF!</v>
      </c>
      <c r="EC31" s="152" t="e">
        <f t="shared" si="27"/>
        <v>#REF!</v>
      </c>
      <c r="ED31" s="184" t="e">
        <f t="shared" si="28"/>
        <v>#REF!</v>
      </c>
      <c r="EE31" s="198" t="e">
        <f t="shared" si="29"/>
        <v>#REF!</v>
      </c>
      <c r="EF31" s="198"/>
      <c r="EG31" s="198"/>
      <c r="EH31" s="198"/>
      <c r="EI31" s="198"/>
      <c r="EJ31" s="198"/>
      <c r="EK31" s="198"/>
      <c r="EL31" s="198"/>
      <c r="EM31" s="198"/>
      <c r="EN31" s="198"/>
      <c r="EP31" s="172">
        <f t="shared" si="30"/>
        <v>45261</v>
      </c>
      <c r="EQ31" s="173">
        <f t="shared" si="31"/>
        <v>45320</v>
      </c>
      <c r="ER31" s="149" t="str">
        <f t="shared" si="32"/>
        <v>Riesgos</v>
      </c>
      <c r="ES31" s="149" t="str">
        <f t="shared" si="20"/>
        <v>ID_-: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ET31" s="149" t="str">
        <f t="shared" si="21"/>
        <v>Ajuste en Identificación del riesgo
Análisis antes de controles
Establecimiento de controles
Tratamiento del riesgo en el Mapa de riesgos de Paz, Víctimas y Reconciliación</v>
      </c>
      <c r="EU31" s="149" t="str">
        <f t="shared" si="22"/>
        <v>Solicitud de cambio realizada y aprobada por la Oficina Alta Consejería de Paz, Víctimas y Reconciliación a través del Aplicativo DARUMA</v>
      </c>
    </row>
    <row r="32" spans="1:151" x14ac:dyDescent="0.2">
      <c r="DA32" s="199"/>
      <c r="DB32" s="199"/>
      <c r="DC32" s="199"/>
      <c r="DD32" s="199"/>
      <c r="DE32" s="199"/>
      <c r="DF32" s="199"/>
      <c r="DG32" s="199"/>
      <c r="EE32" s="199"/>
      <c r="EF32" s="199"/>
      <c r="EG32" s="199"/>
      <c r="EH32" s="199"/>
      <c r="EI32" s="199"/>
      <c r="EJ32" s="199"/>
      <c r="EK32" s="199"/>
      <c r="EL32" s="199"/>
      <c r="EM32" s="199"/>
      <c r="EN32" s="199"/>
    </row>
    <row r="33" spans="105:144" x14ac:dyDescent="0.2">
      <c r="DA33" s="199"/>
      <c r="DB33" s="199"/>
      <c r="DC33" s="199"/>
      <c r="DD33" s="199"/>
      <c r="DE33" s="199"/>
      <c r="DF33" s="199"/>
      <c r="DG33" s="199"/>
      <c r="EE33" s="199"/>
      <c r="EF33" s="199"/>
      <c r="EG33" s="199"/>
      <c r="EH33" s="199"/>
      <c r="EI33" s="199"/>
      <c r="EJ33" s="199"/>
      <c r="EK33" s="199"/>
      <c r="EL33" s="199"/>
      <c r="EM33" s="199"/>
      <c r="EN33" s="199"/>
    </row>
    <row r="34" spans="105:144" x14ac:dyDescent="0.2">
      <c r="DA34" s="199"/>
      <c r="DB34" s="199"/>
      <c r="DC34" s="199"/>
      <c r="DD34" s="199"/>
      <c r="DE34" s="199"/>
      <c r="DF34" s="199"/>
      <c r="DG34" s="199"/>
      <c r="EE34" s="199"/>
      <c r="EF34" s="199"/>
      <c r="EG34" s="199"/>
      <c r="EH34" s="199"/>
      <c r="EI34" s="199"/>
      <c r="EJ34" s="199"/>
      <c r="EK34" s="199"/>
      <c r="EL34" s="199"/>
      <c r="EM34" s="199"/>
      <c r="EN34" s="199"/>
    </row>
    <row r="35" spans="105:144" x14ac:dyDescent="0.2">
      <c r="DA35" s="199"/>
      <c r="DB35" s="199"/>
      <c r="DC35" s="199"/>
      <c r="DD35" s="199"/>
      <c r="DE35" s="199"/>
      <c r="DF35" s="199"/>
      <c r="DG35" s="199"/>
      <c r="EE35" s="199"/>
      <c r="EF35" s="199"/>
      <c r="EG35" s="199"/>
      <c r="EH35" s="199"/>
      <c r="EI35" s="199"/>
      <c r="EJ35" s="199"/>
      <c r="EK35" s="199"/>
      <c r="EL35" s="199"/>
      <c r="EM35" s="199"/>
      <c r="EN35" s="199"/>
    </row>
    <row r="36" spans="105:144" x14ac:dyDescent="0.2">
      <c r="DA36" s="199"/>
      <c r="DB36" s="199"/>
      <c r="DC36" s="199"/>
      <c r="DD36" s="199"/>
      <c r="DE36" s="199"/>
      <c r="DF36" s="199"/>
      <c r="DG36" s="199"/>
      <c r="EE36" s="199"/>
      <c r="EF36" s="199"/>
      <c r="EG36" s="199"/>
      <c r="EH36" s="199"/>
      <c r="EI36" s="199"/>
      <c r="EJ36" s="199"/>
      <c r="EK36" s="199"/>
      <c r="EL36" s="199"/>
      <c r="EM36" s="199"/>
      <c r="EN36" s="199"/>
    </row>
  </sheetData>
  <sheetProtection formatColumns="0" formatRows="0" autoFilter="0"/>
  <autoFilter ref="A11:EU11">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9">
    <mergeCell ref="A1:AE1"/>
    <mergeCell ref="M9:O10"/>
    <mergeCell ref="P9:T10"/>
    <mergeCell ref="U9:V9"/>
    <mergeCell ref="W9:Z10"/>
    <mergeCell ref="AA9:AF10"/>
    <mergeCell ref="A2:AE4"/>
    <mergeCell ref="A5:AE5"/>
    <mergeCell ref="D6:F6"/>
    <mergeCell ref="U6:AF7"/>
    <mergeCell ref="EP2:EP4"/>
    <mergeCell ref="EQ2:EQ4"/>
    <mergeCell ref="ES2:ES4"/>
    <mergeCell ref="AG9:AP9"/>
    <mergeCell ref="AQ9:BZ10"/>
    <mergeCell ref="AH10:AM10"/>
    <mergeCell ref="CV10:CW10"/>
    <mergeCell ref="AN10:AP10"/>
    <mergeCell ref="CN10:CO10"/>
    <mergeCell ref="CP10:CQ10"/>
    <mergeCell ref="CL10:CM10"/>
    <mergeCell ref="CG10:CH10"/>
    <mergeCell ref="CD10:CE10"/>
    <mergeCell ref="CI10:CK10"/>
    <mergeCell ref="CR10:CS10"/>
    <mergeCell ref="CT10:CU10"/>
    <mergeCell ref="DA14:DG14"/>
    <mergeCell ref="DA15:DG15"/>
    <mergeCell ref="DA13:DG13"/>
    <mergeCell ref="DA11:DG11"/>
    <mergeCell ref="DA12:DG12"/>
    <mergeCell ref="DA16:DG16"/>
    <mergeCell ref="DA17:DG17"/>
    <mergeCell ref="DA18:DG18"/>
    <mergeCell ref="DA24:DG24"/>
    <mergeCell ref="DA25:DG25"/>
    <mergeCell ref="DA19:DG19"/>
    <mergeCell ref="DA32:DG32"/>
    <mergeCell ref="DA33:DG33"/>
    <mergeCell ref="DA34:DG34"/>
    <mergeCell ref="DA20:DG20"/>
    <mergeCell ref="DA21:DG21"/>
    <mergeCell ref="DA22:DG22"/>
    <mergeCell ref="DA23:DG23"/>
    <mergeCell ref="EE31:EN31"/>
    <mergeCell ref="DA26:DG26"/>
    <mergeCell ref="DA27:DG27"/>
    <mergeCell ref="DA28:DG28"/>
    <mergeCell ref="DA29:DG29"/>
    <mergeCell ref="DA30:DG30"/>
    <mergeCell ref="DA31:DG31"/>
    <mergeCell ref="EE26:EN26"/>
    <mergeCell ref="EE27:EN27"/>
    <mergeCell ref="EE28:EN28"/>
    <mergeCell ref="EE29:EN29"/>
    <mergeCell ref="EE30:EN30"/>
    <mergeCell ref="DA35:DG35"/>
    <mergeCell ref="DA36:DG36"/>
    <mergeCell ref="EE13:EN13"/>
    <mergeCell ref="EE14:EN14"/>
    <mergeCell ref="EE15:EN15"/>
    <mergeCell ref="EE20:EN20"/>
    <mergeCell ref="EE21:EN21"/>
    <mergeCell ref="EE22:EN22"/>
    <mergeCell ref="EE32:EN32"/>
    <mergeCell ref="EE33:EN33"/>
    <mergeCell ref="EE34:EN34"/>
    <mergeCell ref="EE35:EN35"/>
    <mergeCell ref="EE36:EN36"/>
    <mergeCell ref="EE23:EN23"/>
    <mergeCell ref="EE24:EN24"/>
    <mergeCell ref="EE25:EN25"/>
    <mergeCell ref="DK10:DR10"/>
    <mergeCell ref="EB11:EN11"/>
    <mergeCell ref="EE12:EN12"/>
    <mergeCell ref="EE18:EN18"/>
    <mergeCell ref="EE19:EN19"/>
    <mergeCell ref="EE16:EN16"/>
    <mergeCell ref="EE17:EN17"/>
  </mergeCells>
  <conditionalFormatting sqref="Y12:Y31">
    <cfRule type="cellIs" dxfId="123" priority="593" operator="equal">
      <formula>"Bajo"</formula>
    </cfRule>
    <cfRule type="cellIs" dxfId="122" priority="594" operator="equal">
      <formula>"Alto"</formula>
    </cfRule>
    <cfRule type="cellIs" dxfId="121" priority="595" operator="equal">
      <formula>"Extremo"</formula>
    </cfRule>
    <cfRule type="cellIs" dxfId="120" priority="596" operator="equal">
      <formula>"Moderado"</formula>
    </cfRule>
  </conditionalFormatting>
  <conditionalFormatting sqref="AE12:AE31">
    <cfRule type="cellIs" dxfId="119" priority="589" operator="equal">
      <formula>"Alto"</formula>
    </cfRule>
    <cfRule type="cellIs" dxfId="118" priority="590" operator="equal">
      <formula>"Moderado"</formula>
    </cfRule>
    <cfRule type="cellIs" dxfId="117" priority="591" operator="equal">
      <formula>"Extremo"</formula>
    </cfRule>
    <cfRule type="cellIs" dxfId="116"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'C:\Users\Cesar Arcos\Desktop\Alcaldía Bogotá\Metodología riesgos Alcaldía\Instrumento\Formatos\2021\Nuevos\[2210111-FT-471 Mapa de riesgos del proceso o proyecto de inversión V6.xlsx]Datos'!#REF!</xm:f>
            <x14:dxf>
              <fill>
                <patternFill>
                  <bgColor rgb="FFFF0000"/>
                </patternFill>
              </fill>
            </x14:dxf>
          </x14:cfRule>
          <xm:sqref>Y12:Y31 AE12:AE31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B2:E5"/>
  <sheetViews>
    <sheetView showGridLines="0" workbookViewId="0"/>
  </sheetViews>
  <sheetFormatPr baseColWidth="10" defaultColWidth="11.42578125" defaultRowHeight="15" x14ac:dyDescent="0.25"/>
  <cols>
    <col min="1" max="1" width="11.42578125" style="68"/>
    <col min="2" max="2" width="37.5703125" style="68" customWidth="1"/>
    <col min="3" max="3" width="48.7109375" style="68" customWidth="1"/>
    <col min="4" max="4" width="12.7109375" style="68" customWidth="1"/>
    <col min="5" max="16384" width="11.42578125" style="68"/>
  </cols>
  <sheetData>
    <row r="2" spans="2:5" x14ac:dyDescent="0.25">
      <c r="B2" s="106" t="s">
        <v>266</v>
      </c>
      <c r="C2" s="106" t="s">
        <v>235</v>
      </c>
      <c r="D2" s="106" t="s">
        <v>263</v>
      </c>
      <c r="E2" s="106" t="s">
        <v>267</v>
      </c>
    </row>
    <row r="3" spans="2:5" ht="15" customHeight="1" x14ac:dyDescent="0.25">
      <c r="B3" s="107" t="s">
        <v>63</v>
      </c>
      <c r="C3" s="68" t="s">
        <v>315</v>
      </c>
      <c r="D3" s="80">
        <v>13</v>
      </c>
      <c r="E3" s="108">
        <f>D3/$D$5</f>
        <v>0.65</v>
      </c>
    </row>
    <row r="4" spans="2:5" ht="15" customHeight="1" x14ac:dyDescent="0.25">
      <c r="C4" s="68" t="s">
        <v>316</v>
      </c>
      <c r="D4" s="80">
        <v>7</v>
      </c>
      <c r="E4" s="108">
        <f>D4/$D$5</f>
        <v>0.35</v>
      </c>
    </row>
    <row r="5" spans="2:5" ht="15" customHeight="1" x14ac:dyDescent="0.25">
      <c r="B5" s="105" t="s">
        <v>265</v>
      </c>
      <c r="C5" s="103"/>
      <c r="D5" s="96">
        <f>SUM(D3:D4)</f>
        <v>20</v>
      </c>
      <c r="E5" s="109">
        <f>SUM(E3:E4)</f>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85546875" style="67" customWidth="1"/>
    <col min="2" max="2" width="14" style="67" bestFit="1" customWidth="1"/>
    <col min="3" max="3" width="7.7109375" style="67" customWidth="1"/>
    <col min="4" max="4" width="9.28515625" style="67" bestFit="1" customWidth="1"/>
    <col min="5" max="5" width="12.5703125" style="67" bestFit="1" customWidth="1"/>
    <col min="6" max="9" width="45.7109375" style="67" customWidth="1"/>
    <col min="10" max="16384" width="87.140625" style="67"/>
  </cols>
  <sheetData>
    <row r="4" spans="1:5" ht="30" x14ac:dyDescent="0.25">
      <c r="A4" s="143" t="s">
        <v>276</v>
      </c>
      <c r="B4" s="147" t="s">
        <v>532</v>
      </c>
      <c r="C4" s="148"/>
      <c r="D4"/>
      <c r="E4"/>
    </row>
    <row r="5" spans="1:5" ht="30" x14ac:dyDescent="0.25">
      <c r="A5" s="155" t="s">
        <v>284</v>
      </c>
      <c r="B5" s="168" t="s">
        <v>63</v>
      </c>
      <c r="C5" s="157" t="s">
        <v>243</v>
      </c>
      <c r="D5"/>
      <c r="E5"/>
    </row>
    <row r="6" spans="1:5" x14ac:dyDescent="0.25">
      <c r="A6" s="146" t="s">
        <v>272</v>
      </c>
      <c r="B6" s="185">
        <v>1</v>
      </c>
      <c r="C6" s="191">
        <v>1</v>
      </c>
      <c r="D6"/>
      <c r="E6"/>
    </row>
    <row r="7" spans="1:5" x14ac:dyDescent="0.25">
      <c r="A7" s="146" t="s">
        <v>273</v>
      </c>
      <c r="B7" s="185">
        <v>1</v>
      </c>
      <c r="C7" s="191">
        <v>1</v>
      </c>
      <c r="D7"/>
      <c r="E7"/>
    </row>
    <row r="8" spans="1:5" x14ac:dyDescent="0.25">
      <c r="A8" s="146" t="s">
        <v>190</v>
      </c>
      <c r="B8" s="185">
        <v>2</v>
      </c>
      <c r="C8" s="191">
        <v>2</v>
      </c>
      <c r="D8"/>
      <c r="E8"/>
    </row>
    <row r="9" spans="1:5" x14ac:dyDescent="0.25">
      <c r="A9" s="146" t="s">
        <v>274</v>
      </c>
      <c r="B9" s="185">
        <v>2</v>
      </c>
      <c r="C9" s="191">
        <v>2</v>
      </c>
      <c r="D9"/>
      <c r="E9"/>
    </row>
    <row r="10" spans="1:5" x14ac:dyDescent="0.25">
      <c r="A10" s="146" t="s">
        <v>275</v>
      </c>
      <c r="B10" s="185">
        <v>1</v>
      </c>
      <c r="C10" s="191">
        <v>1</v>
      </c>
      <c r="D10"/>
      <c r="E10"/>
    </row>
    <row r="11" spans="1:5" x14ac:dyDescent="0.25">
      <c r="A11" s="146" t="s">
        <v>393</v>
      </c>
      <c r="B11" s="185">
        <v>2</v>
      </c>
      <c r="C11" s="191">
        <v>2</v>
      </c>
      <c r="D11"/>
      <c r="E11"/>
    </row>
    <row r="12" spans="1:5" x14ac:dyDescent="0.25">
      <c r="A12" s="146" t="s">
        <v>397</v>
      </c>
      <c r="B12" s="185">
        <v>2</v>
      </c>
      <c r="C12" s="191">
        <v>2</v>
      </c>
      <c r="D12"/>
      <c r="E12"/>
    </row>
    <row r="13" spans="1:5" x14ac:dyDescent="0.25">
      <c r="A13" s="146" t="s">
        <v>423</v>
      </c>
      <c r="B13" s="185">
        <v>2</v>
      </c>
      <c r="C13" s="191">
        <v>2</v>
      </c>
      <c r="D13"/>
      <c r="E13"/>
    </row>
    <row r="14" spans="1:5" x14ac:dyDescent="0.25">
      <c r="A14" s="146" t="s">
        <v>407</v>
      </c>
      <c r="B14" s="185">
        <v>3</v>
      </c>
      <c r="C14" s="191">
        <v>3</v>
      </c>
      <c r="D14"/>
      <c r="E14"/>
    </row>
    <row r="15" spans="1:5" x14ac:dyDescent="0.25">
      <c r="A15" s="146" t="s">
        <v>411</v>
      </c>
      <c r="B15" s="185">
        <v>3</v>
      </c>
      <c r="C15" s="191">
        <v>3</v>
      </c>
      <c r="D15"/>
      <c r="E15"/>
    </row>
    <row r="16" spans="1:5" x14ac:dyDescent="0.25">
      <c r="A16" s="145" t="s">
        <v>418</v>
      </c>
      <c r="B16" s="186">
        <v>1</v>
      </c>
      <c r="C16" s="192">
        <v>1</v>
      </c>
      <c r="D16"/>
      <c r="E16"/>
    </row>
    <row r="17" spans="1:5" x14ac:dyDescent="0.25">
      <c r="A17" s="144" t="s">
        <v>243</v>
      </c>
      <c r="B17" s="187">
        <v>20</v>
      </c>
      <c r="C17" s="193">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55" t="s">
        <v>276</v>
      </c>
      <c r="B30" s="169" t="s">
        <v>532</v>
      </c>
      <c r="C30" s="188"/>
      <c r="D30"/>
      <c r="E30"/>
    </row>
    <row r="31" spans="1:5" ht="30" x14ac:dyDescent="0.25">
      <c r="A31" s="170" t="s">
        <v>428</v>
      </c>
      <c r="B31" s="156" t="s">
        <v>63</v>
      </c>
      <c r="C31" s="157" t="s">
        <v>243</v>
      </c>
      <c r="D31"/>
      <c r="E31"/>
    </row>
    <row r="32" spans="1:5" ht="15" customHeight="1" x14ac:dyDescent="0.25">
      <c r="A32" s="167" t="s">
        <v>256</v>
      </c>
      <c r="B32" s="186">
        <v>2</v>
      </c>
      <c r="C32" s="192">
        <v>2</v>
      </c>
      <c r="D32"/>
      <c r="E32"/>
    </row>
    <row r="33" spans="1:5" ht="15" customHeight="1" x14ac:dyDescent="0.25">
      <c r="A33" s="146" t="s">
        <v>246</v>
      </c>
      <c r="B33" s="185">
        <v>3</v>
      </c>
      <c r="C33" s="191">
        <v>3</v>
      </c>
      <c r="D33"/>
      <c r="E33"/>
    </row>
    <row r="34" spans="1:5" ht="15" customHeight="1" x14ac:dyDescent="0.25">
      <c r="A34" s="146" t="s">
        <v>251</v>
      </c>
      <c r="B34" s="185">
        <v>2</v>
      </c>
      <c r="C34" s="191">
        <v>2</v>
      </c>
      <c r="D34"/>
      <c r="E34"/>
    </row>
    <row r="35" spans="1:5" ht="15" customHeight="1" x14ac:dyDescent="0.25">
      <c r="A35" s="146" t="s">
        <v>429</v>
      </c>
      <c r="B35" s="185">
        <v>1</v>
      </c>
      <c r="C35" s="191">
        <v>1</v>
      </c>
      <c r="D35"/>
      <c r="E35"/>
    </row>
    <row r="36" spans="1:5" ht="15" customHeight="1" x14ac:dyDescent="0.25">
      <c r="A36" s="146" t="s">
        <v>321</v>
      </c>
      <c r="B36" s="185">
        <v>1</v>
      </c>
      <c r="C36" s="191">
        <v>1</v>
      </c>
      <c r="D36"/>
      <c r="E36"/>
    </row>
    <row r="37" spans="1:5" x14ac:dyDescent="0.25">
      <c r="A37" s="146" t="s">
        <v>430</v>
      </c>
      <c r="B37" s="185">
        <v>1</v>
      </c>
      <c r="C37" s="191">
        <v>1</v>
      </c>
      <c r="D37"/>
      <c r="E37"/>
    </row>
    <row r="38" spans="1:5" x14ac:dyDescent="0.25">
      <c r="A38" s="146" t="s">
        <v>258</v>
      </c>
      <c r="B38" s="185">
        <v>3</v>
      </c>
      <c r="C38" s="191">
        <v>3</v>
      </c>
      <c r="D38"/>
      <c r="E38"/>
    </row>
    <row r="39" spans="1:5" ht="15" customHeight="1" x14ac:dyDescent="0.25">
      <c r="A39" s="146" t="s">
        <v>257</v>
      </c>
      <c r="B39" s="185">
        <v>2</v>
      </c>
      <c r="C39" s="191">
        <v>2</v>
      </c>
      <c r="D39"/>
      <c r="E39"/>
    </row>
    <row r="40" spans="1:5" ht="15" customHeight="1" x14ac:dyDescent="0.25">
      <c r="A40" s="190" t="s">
        <v>735</v>
      </c>
      <c r="B40" s="189">
        <v>1</v>
      </c>
      <c r="C40" s="194">
        <v>1</v>
      </c>
      <c r="D40"/>
      <c r="E40"/>
    </row>
    <row r="41" spans="1:5" ht="15" customHeight="1" x14ac:dyDescent="0.25">
      <c r="A41" s="146" t="s">
        <v>680</v>
      </c>
      <c r="B41" s="185">
        <v>1</v>
      </c>
      <c r="C41" s="191">
        <v>1</v>
      </c>
      <c r="D41"/>
      <c r="E41"/>
    </row>
    <row r="42" spans="1:5" ht="15" customHeight="1" x14ac:dyDescent="0.25">
      <c r="A42" s="146" t="s">
        <v>690</v>
      </c>
      <c r="B42" s="185">
        <v>1</v>
      </c>
      <c r="C42" s="191">
        <v>1</v>
      </c>
      <c r="D42"/>
      <c r="E42"/>
    </row>
    <row r="43" spans="1:5" x14ac:dyDescent="0.25">
      <c r="A43" s="146" t="s">
        <v>692</v>
      </c>
      <c r="B43" s="185">
        <v>1</v>
      </c>
      <c r="C43" s="191">
        <v>1</v>
      </c>
      <c r="D43"/>
      <c r="E43"/>
    </row>
    <row r="44" spans="1:5" ht="15" customHeight="1" x14ac:dyDescent="0.25">
      <c r="A44" s="146" t="s">
        <v>709</v>
      </c>
      <c r="B44" s="185">
        <v>1</v>
      </c>
      <c r="C44" s="191">
        <v>1</v>
      </c>
      <c r="D44"/>
      <c r="E44"/>
    </row>
    <row r="45" spans="1:5" ht="15" customHeight="1" x14ac:dyDescent="0.25">
      <c r="A45" s="144" t="s">
        <v>243</v>
      </c>
      <c r="B45" s="187">
        <v>20</v>
      </c>
      <c r="C45" s="193">
        <v>20</v>
      </c>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19.5" customHeight="1" x14ac:dyDescent="0.25"/>
    <row r="2" spans="2:18" ht="27" customHeight="1" x14ac:dyDescent="0.25">
      <c r="B2" s="252" t="s">
        <v>277</v>
      </c>
      <c r="C2" s="253"/>
      <c r="D2" s="253"/>
      <c r="E2" s="253"/>
      <c r="F2" s="253"/>
      <c r="G2" s="253"/>
      <c r="H2" s="253"/>
      <c r="I2" s="253"/>
      <c r="J2" s="253"/>
      <c r="K2" s="253"/>
      <c r="L2" s="253"/>
      <c r="M2" s="253"/>
      <c r="N2" s="253"/>
      <c r="O2" s="254"/>
    </row>
    <row r="3" spans="2:18" ht="30" customHeight="1" x14ac:dyDescent="0.25">
      <c r="B3" s="255"/>
      <c r="C3" s="256"/>
      <c r="D3" s="256"/>
      <c r="E3" s="256"/>
      <c r="F3" s="256"/>
      <c r="G3" s="256"/>
      <c r="H3" s="256"/>
      <c r="I3" s="256"/>
      <c r="J3" s="256"/>
      <c r="K3" s="256"/>
      <c r="L3" s="256"/>
      <c r="M3" s="256"/>
      <c r="N3" s="256"/>
      <c r="O3" s="257"/>
    </row>
    <row r="4" spans="2:18" ht="19.5" customHeight="1" x14ac:dyDescent="0.25">
      <c r="B4" s="70"/>
      <c r="C4" s="69"/>
      <c r="D4" s="69"/>
      <c r="E4" s="69"/>
      <c r="F4" s="69"/>
      <c r="G4" s="69"/>
      <c r="H4" s="69"/>
      <c r="I4" s="69"/>
      <c r="J4" s="69"/>
      <c r="K4" s="69"/>
      <c r="L4" s="69"/>
      <c r="M4" s="69"/>
      <c r="N4" s="69"/>
      <c r="O4" s="82"/>
    </row>
    <row r="5" spans="2:18" x14ac:dyDescent="0.25">
      <c r="B5" s="70"/>
      <c r="D5" s="71"/>
      <c r="F5" s="71"/>
      <c r="G5" s="71"/>
      <c r="H5" s="71"/>
      <c r="J5" s="71"/>
      <c r="L5" s="71"/>
      <c r="N5" s="71"/>
      <c r="O5" s="82"/>
    </row>
    <row r="6" spans="2:18" ht="40.5" customHeight="1" x14ac:dyDescent="0.25">
      <c r="B6" s="70"/>
      <c r="C6" s="251" t="s">
        <v>269</v>
      </c>
      <c r="D6" s="72" t="str">
        <f>Datos!T2</f>
        <v>Muy alta (5)</v>
      </c>
      <c r="F6" s="71"/>
      <c r="G6" s="71"/>
      <c r="H6" s="71"/>
      <c r="I6" s="74"/>
      <c r="J6" s="73">
        <f>COUNTIFS(Mapa_riesgos!$U$12:$U$31,$D6,Mapa_riesgos!$W$12:$W$31,J$16)</f>
        <v>0</v>
      </c>
      <c r="K6" s="74"/>
      <c r="L6" s="73">
        <f>COUNTIFS(Mapa_riesgos!$U$12:$U$31,$D6,Mapa_riesgos!$W$12:$W$31,L$16)</f>
        <v>0</v>
      </c>
      <c r="M6" s="74"/>
      <c r="N6" s="75">
        <f>COUNTIFS(Mapa_riesgos!$U$12:$U$31,$D6,Mapa_riesgos!$W$12:$W$31,N$16)</f>
        <v>0</v>
      </c>
      <c r="O6" s="82"/>
    </row>
    <row r="7" spans="2:18" ht="12" customHeight="1" x14ac:dyDescent="0.25">
      <c r="B7" s="70"/>
      <c r="C7" s="251"/>
      <c r="D7" s="71"/>
      <c r="F7" s="71"/>
      <c r="G7" s="71"/>
      <c r="H7" s="71"/>
      <c r="I7" s="74"/>
      <c r="J7" s="76"/>
      <c r="K7" s="74"/>
      <c r="L7" s="76"/>
      <c r="M7" s="74"/>
      <c r="N7" s="76"/>
      <c r="O7" s="82"/>
    </row>
    <row r="8" spans="2:18" ht="40.5" customHeight="1" x14ac:dyDescent="0.25">
      <c r="B8" s="70"/>
      <c r="C8" s="251"/>
      <c r="D8" s="72" t="str">
        <f>Datos!T3</f>
        <v>Alta (4)</v>
      </c>
      <c r="F8" s="71"/>
      <c r="G8" s="71"/>
      <c r="H8" s="71"/>
      <c r="I8" s="74"/>
      <c r="J8" s="73">
        <f>COUNTIFS(Mapa_riesgos!$U$12:$U$31,$D8,Mapa_riesgos!$W$12:$W$31,J$16)</f>
        <v>0</v>
      </c>
      <c r="K8" s="74"/>
      <c r="L8" s="73">
        <f>COUNTIFS(Mapa_riesgos!$U$12:$U$31,$D8,Mapa_riesgos!$W$12:$W$31,L$16)</f>
        <v>0</v>
      </c>
      <c r="M8" s="74"/>
      <c r="N8" s="75">
        <f>COUNTIFS(Mapa_riesgos!$U$12:$U$31,$D8,Mapa_riesgos!$W$12:$W$31,N$16)</f>
        <v>0</v>
      </c>
      <c r="O8" s="82"/>
    </row>
    <row r="9" spans="2:18" ht="11.25" customHeight="1" x14ac:dyDescent="0.25">
      <c r="B9" s="70"/>
      <c r="C9" s="251"/>
      <c r="D9" s="71"/>
      <c r="F9" s="71"/>
      <c r="G9" s="71"/>
      <c r="H9" s="71"/>
      <c r="I9" s="74"/>
      <c r="J9" s="76"/>
      <c r="K9" s="74"/>
      <c r="L9" s="76"/>
      <c r="M9" s="74"/>
      <c r="N9" s="76"/>
      <c r="O9" s="82"/>
    </row>
    <row r="10" spans="2:18" ht="40.5" customHeight="1" x14ac:dyDescent="0.25">
      <c r="B10" s="70"/>
      <c r="C10" s="251"/>
      <c r="D10" s="72" t="str">
        <f>Datos!T4</f>
        <v>Media (3)</v>
      </c>
      <c r="F10" s="71"/>
      <c r="G10" s="71"/>
      <c r="H10" s="71"/>
      <c r="I10" s="74"/>
      <c r="J10" s="77">
        <f>COUNTIFS(Mapa_riesgos!$U$12:$U$31,$D10,Mapa_riesgos!$W$12:$W$31,J$16)</f>
        <v>0</v>
      </c>
      <c r="K10" s="74"/>
      <c r="L10" s="73">
        <f>COUNTIFS(Mapa_riesgos!$U$12:$U$31,$D10,Mapa_riesgos!$W$12:$W$31,L$16)</f>
        <v>0</v>
      </c>
      <c r="M10" s="74"/>
      <c r="N10" s="75">
        <f>COUNTIFS(Mapa_riesgos!$U$12:$U$31,$D10,Mapa_riesgos!$W$12:$W$31,N$16)</f>
        <v>0</v>
      </c>
      <c r="O10" s="82"/>
      <c r="Q10" s="97"/>
      <c r="R10" s="98"/>
    </row>
    <row r="11" spans="2:18" ht="9" customHeight="1" x14ac:dyDescent="0.25">
      <c r="B11" s="70"/>
      <c r="C11" s="251"/>
      <c r="D11" s="71"/>
      <c r="F11" s="71"/>
      <c r="G11" s="71"/>
      <c r="H11" s="71"/>
      <c r="I11" s="74"/>
      <c r="J11" s="76"/>
      <c r="K11" s="74"/>
      <c r="L11" s="76"/>
      <c r="M11" s="74"/>
      <c r="N11" s="76"/>
      <c r="O11" s="82"/>
    </row>
    <row r="12" spans="2:18" ht="40.5" customHeight="1" x14ac:dyDescent="0.25">
      <c r="B12" s="70"/>
      <c r="C12" s="251"/>
      <c r="D12" s="72" t="str">
        <f>Datos!T5</f>
        <v>Baja (2)</v>
      </c>
      <c r="F12" s="71"/>
      <c r="G12" s="71"/>
      <c r="H12" s="71"/>
      <c r="I12" s="74"/>
      <c r="J12" s="77">
        <f>COUNTIFS(Mapa_riesgos!$U$12:$U$31,$D12,Mapa_riesgos!$W$12:$W$31,J$16)</f>
        <v>0</v>
      </c>
      <c r="K12" s="74"/>
      <c r="L12" s="73">
        <f>COUNTIFS(Mapa_riesgos!$U$12:$U$31,$D12,Mapa_riesgos!$W$12:$W$31,L$16)</f>
        <v>0</v>
      </c>
      <c r="M12" s="74"/>
      <c r="N12" s="75">
        <f>COUNTIFS(Mapa_riesgos!$U$12:$U$31,$D12,Mapa_riesgos!$W$12:$W$31,N$16)</f>
        <v>0</v>
      </c>
      <c r="O12" s="82"/>
      <c r="Q12" s="97"/>
      <c r="R12" s="99"/>
    </row>
    <row r="13" spans="2:18" ht="9.75" customHeight="1" x14ac:dyDescent="0.25">
      <c r="B13" s="70"/>
      <c r="C13" s="251"/>
      <c r="D13" s="71"/>
      <c r="F13" s="71"/>
      <c r="G13" s="71"/>
      <c r="H13" s="71"/>
      <c r="I13" s="74"/>
      <c r="J13" s="76"/>
      <c r="K13" s="74"/>
      <c r="L13" s="76"/>
      <c r="M13" s="74"/>
      <c r="N13" s="76"/>
      <c r="O13" s="82"/>
    </row>
    <row r="14" spans="2:18" ht="40.5" customHeight="1" x14ac:dyDescent="0.25">
      <c r="B14" s="70"/>
      <c r="C14" s="251"/>
      <c r="D14" s="72" t="str">
        <f>Datos!T6</f>
        <v>Muy baja (1)</v>
      </c>
      <c r="F14" s="71"/>
      <c r="G14" s="71"/>
      <c r="H14" s="71"/>
      <c r="I14" s="74"/>
      <c r="J14" s="77">
        <f>COUNTIFS(Mapa_riesgos!$U$12:$U$31,$D14,Mapa_riesgos!$W$12:$W$31,J$16)</f>
        <v>1</v>
      </c>
      <c r="K14" s="74"/>
      <c r="L14" s="73">
        <f>COUNTIFS(Mapa_riesgos!$U$12:$U$31,$D14,Mapa_riesgos!$W$12:$W$31,L$16)</f>
        <v>13</v>
      </c>
      <c r="M14" s="74"/>
      <c r="N14" s="75">
        <f>COUNTIFS(Mapa_riesgos!$U$12:$U$31,$D14,Mapa_riesgos!$W$12:$W$31,N$16)</f>
        <v>6</v>
      </c>
      <c r="O14" s="82"/>
    </row>
    <row r="15" spans="2:18" ht="27.75" customHeight="1" x14ac:dyDescent="0.25">
      <c r="B15" s="70"/>
      <c r="D15" s="71"/>
      <c r="F15" s="71"/>
      <c r="G15" s="71"/>
      <c r="H15" s="71"/>
      <c r="J15" s="71"/>
      <c r="L15" s="71"/>
      <c r="N15" s="71"/>
      <c r="O15" s="82"/>
    </row>
    <row r="16" spans="2:18" ht="41.25" customHeight="1" x14ac:dyDescent="0.25">
      <c r="B16" s="70"/>
      <c r="I16" s="78"/>
      <c r="J16" s="72" t="str">
        <f>Datos!U4</f>
        <v>Moderado (3)</v>
      </c>
      <c r="K16" s="78"/>
      <c r="L16" s="72" t="str">
        <f>Datos!U3</f>
        <v>Mayor (4)</v>
      </c>
      <c r="M16" s="78"/>
      <c r="N16" s="72" t="str">
        <f>Datos!U2</f>
        <v>Catastrófico (5)</v>
      </c>
      <c r="O16" s="82"/>
    </row>
    <row r="17" spans="2:15" ht="41.25" customHeight="1" x14ac:dyDescent="0.25">
      <c r="B17" s="70"/>
      <c r="I17" s="80"/>
      <c r="J17" s="81" t="s">
        <v>268</v>
      </c>
      <c r="K17" s="80"/>
      <c r="L17" s="79"/>
      <c r="M17" s="80"/>
      <c r="N17" s="79"/>
      <c r="O17" s="82"/>
    </row>
    <row r="18" spans="2:15" ht="18" customHeight="1" x14ac:dyDescent="0.25">
      <c r="B18" s="70"/>
      <c r="O18" s="82"/>
    </row>
    <row r="19" spans="2:15" ht="26.25" customHeight="1" x14ac:dyDescent="0.25">
      <c r="B19" s="70"/>
      <c r="D19" s="81" t="s">
        <v>224</v>
      </c>
      <c r="G19" s="74"/>
      <c r="H19" s="83">
        <f>+F8+F10+H8+H10+H12+J10+J12+J14</f>
        <v>1</v>
      </c>
      <c r="I19" s="74"/>
      <c r="J19" s="83">
        <f>+F6+H6+J6+J8+L6+L8+L10+L12+L14</f>
        <v>13</v>
      </c>
      <c r="K19" s="74"/>
      <c r="L19" s="83">
        <f>+N6+N8+N10+N12+N14</f>
        <v>6</v>
      </c>
      <c r="M19" s="80"/>
      <c r="N19" s="80"/>
      <c r="O19" s="82"/>
    </row>
    <row r="20" spans="2:15" ht="26.25" customHeight="1" x14ac:dyDescent="0.3">
      <c r="B20" s="70"/>
      <c r="D20" s="84">
        <f>SUM(F6:N14)</f>
        <v>20</v>
      </c>
      <c r="G20" s="85"/>
      <c r="H20" s="86" t="s">
        <v>84</v>
      </c>
      <c r="I20" s="85"/>
      <c r="J20" s="87" t="s">
        <v>270</v>
      </c>
      <c r="K20" s="85"/>
      <c r="L20" s="88" t="s">
        <v>271</v>
      </c>
      <c r="O20" s="82"/>
    </row>
    <row r="21" spans="2:15" x14ac:dyDescent="0.25">
      <c r="B21" s="89"/>
      <c r="C21" s="90"/>
      <c r="D21" s="90"/>
      <c r="E21" s="90"/>
      <c r="F21" s="90"/>
      <c r="G21" s="90"/>
      <c r="H21" s="90"/>
      <c r="I21" s="90"/>
      <c r="J21" s="90"/>
      <c r="K21" s="90"/>
      <c r="L21" s="90"/>
      <c r="M21" s="90"/>
      <c r="N21" s="90"/>
      <c r="O21" s="91"/>
    </row>
  </sheetData>
  <mergeCells count="2">
    <mergeCell ref="C6:C14"/>
    <mergeCell ref="B2:O3"/>
  </mergeCells>
  <conditionalFormatting sqref="J6 L6 J8 L8 L10 L12 L14">
    <cfRule type="cellIs" dxfId="5" priority="2" operator="equal">
      <formula>0</formula>
    </cfRule>
  </conditionalFormatting>
  <conditionalFormatting sqref="J10 J12 J14">
    <cfRule type="cellIs" dxfId="4" priority="3"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sheetPr>
  <dimension ref="B1:E13"/>
  <sheetViews>
    <sheetView showGridLines="0" zoomScaleNormal="100" workbookViewId="0"/>
  </sheetViews>
  <sheetFormatPr baseColWidth="10" defaultRowHeight="15" x14ac:dyDescent="0.25"/>
  <cols>
    <col min="1" max="1" width="23.140625" style="94" customWidth="1"/>
    <col min="2" max="2" width="31.140625" style="94" customWidth="1"/>
    <col min="3" max="3" width="14.42578125" style="94" customWidth="1"/>
    <col min="4" max="4" width="32.85546875" style="94" customWidth="1"/>
    <col min="5" max="5" width="14.42578125" style="94" customWidth="1"/>
    <col min="6" max="16384" width="11.42578125" style="94"/>
  </cols>
  <sheetData>
    <row r="1" spans="2:5" ht="27" customHeight="1" x14ac:dyDescent="0.25"/>
    <row r="2" spans="2:5" x14ac:dyDescent="0.25">
      <c r="B2" s="134" t="s">
        <v>223</v>
      </c>
      <c r="C2" s="134" t="s">
        <v>263</v>
      </c>
      <c r="D2" s="134" t="s">
        <v>225</v>
      </c>
      <c r="E2" s="134" t="s">
        <v>263</v>
      </c>
    </row>
    <row r="3" spans="2:5" x14ac:dyDescent="0.25">
      <c r="B3" s="135" t="s">
        <v>271</v>
      </c>
      <c r="C3" s="141">
        <f>COUNTIFS(Mapa_riesgos!$Y$12:$Y$31,$B$3)</f>
        <v>6</v>
      </c>
      <c r="D3" s="135" t="s">
        <v>271</v>
      </c>
      <c r="E3" s="141">
        <f>COUNTIFS(Mapa_riesgos!$Y$12:$Y$31,$B$3,Mapa_riesgos!$AE$12:$AE$31,D3)</f>
        <v>6</v>
      </c>
    </row>
    <row r="4" spans="2:5" x14ac:dyDescent="0.25">
      <c r="B4" s="136"/>
      <c r="C4" s="141"/>
      <c r="D4" s="137" t="s">
        <v>270</v>
      </c>
      <c r="E4" s="141">
        <f>COUNTIFS(Mapa_riesgos!$Y$12:$Y$31,$B$3,Mapa_riesgos!$AE$12:$AE$31,D4)</f>
        <v>0</v>
      </c>
    </row>
    <row r="5" spans="2:5" x14ac:dyDescent="0.25">
      <c r="B5" s="136"/>
      <c r="C5" s="141"/>
      <c r="D5" s="138" t="s">
        <v>84</v>
      </c>
      <c r="E5" s="141">
        <f>COUNTIFS(Mapa_riesgos!$Y$12:$Y$31,$B$3,Mapa_riesgos!$AE$12:$AE$31,D5)</f>
        <v>0</v>
      </c>
    </row>
    <row r="6" spans="2:5" x14ac:dyDescent="0.25">
      <c r="B6" s="137" t="s">
        <v>270</v>
      </c>
      <c r="C6" s="141">
        <f>COUNTIFS(Mapa_riesgos!$Y$12:$Y$31,$B$6)</f>
        <v>13</v>
      </c>
      <c r="D6" s="135" t="s">
        <v>271</v>
      </c>
      <c r="E6" s="141">
        <f>COUNTIFS(Mapa_riesgos!$Y$12:$Y$31,$B$6,Mapa_riesgos!$AE$12:$AE$31,D6)</f>
        <v>0</v>
      </c>
    </row>
    <row r="7" spans="2:5" x14ac:dyDescent="0.25">
      <c r="B7" s="136"/>
      <c r="C7" s="141"/>
      <c r="D7" s="137" t="s">
        <v>270</v>
      </c>
      <c r="E7" s="141">
        <f>COUNTIFS(Mapa_riesgos!$Y$12:$Y$31,$B$6,Mapa_riesgos!$AE$12:$AE$31,D7)</f>
        <v>13</v>
      </c>
    </row>
    <row r="8" spans="2:5" x14ac:dyDescent="0.25">
      <c r="B8" s="136"/>
      <c r="C8" s="141"/>
      <c r="D8" s="138" t="s">
        <v>84</v>
      </c>
      <c r="E8" s="141">
        <f>COUNTIFS(Mapa_riesgos!$Y$12:$Y$31,$B$6,Mapa_riesgos!$AE$12:$AE$31,D8)</f>
        <v>0</v>
      </c>
    </row>
    <row r="9" spans="2:5" x14ac:dyDescent="0.25">
      <c r="B9" s="138" t="s">
        <v>84</v>
      </c>
      <c r="C9" s="141">
        <f>COUNTIFS(Mapa_riesgos!$Y$12:$Y$31,$B$9)</f>
        <v>1</v>
      </c>
      <c r="D9" s="135" t="s">
        <v>271</v>
      </c>
      <c r="E9" s="141">
        <f>COUNTIFS(Mapa_riesgos!$Y$12:$Y$31,$B$9,Mapa_riesgos!$AE$12:$AE$31,D9)</f>
        <v>0</v>
      </c>
    </row>
    <row r="10" spans="2:5" x14ac:dyDescent="0.25">
      <c r="B10" s="136"/>
      <c r="C10" s="141"/>
      <c r="D10" s="137" t="s">
        <v>270</v>
      </c>
      <c r="E10" s="141">
        <f>COUNTIFS(Mapa_riesgos!$Y$12:$Y$31,$B$9,Mapa_riesgos!$AE$12:$AE$31,D10)</f>
        <v>0</v>
      </c>
    </row>
    <row r="11" spans="2:5" x14ac:dyDescent="0.25">
      <c r="B11" s="136"/>
      <c r="C11" s="141"/>
      <c r="D11" s="138" t="s">
        <v>84</v>
      </c>
      <c r="E11" s="141">
        <f>COUNTIFS(Mapa_riesgos!$Y$12:$Y$31,$B$9,Mapa_riesgos!$AE$12:$AE$31,D11)</f>
        <v>1</v>
      </c>
    </row>
    <row r="12" spans="2:5" x14ac:dyDescent="0.25">
      <c r="B12" s="139"/>
      <c r="C12" s="95"/>
      <c r="D12" s="139"/>
      <c r="E12" s="95"/>
    </row>
    <row r="13" spans="2:5" x14ac:dyDescent="0.25">
      <c r="B13" s="140" t="s">
        <v>264</v>
      </c>
      <c r="C13" s="140"/>
      <c r="D13" s="95"/>
      <c r="E13" s="95">
        <f>SUM(E3:E11)</f>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ustomWidth="1"/>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20.25" customHeight="1" x14ac:dyDescent="0.25"/>
    <row r="2" spans="2:18" ht="27" customHeight="1" x14ac:dyDescent="0.25">
      <c r="B2" s="252" t="s">
        <v>278</v>
      </c>
      <c r="C2" s="253"/>
      <c r="D2" s="253"/>
      <c r="E2" s="253"/>
      <c r="F2" s="253"/>
      <c r="G2" s="253"/>
      <c r="H2" s="253"/>
      <c r="I2" s="253"/>
      <c r="J2" s="253"/>
      <c r="K2" s="253"/>
      <c r="L2" s="253"/>
      <c r="M2" s="253"/>
      <c r="N2" s="253"/>
      <c r="O2" s="254"/>
      <c r="P2" s="92"/>
    </row>
    <row r="3" spans="2:18" ht="30" customHeight="1" x14ac:dyDescent="0.25">
      <c r="B3" s="255"/>
      <c r="C3" s="256"/>
      <c r="D3" s="256"/>
      <c r="E3" s="256"/>
      <c r="F3" s="256"/>
      <c r="G3" s="256"/>
      <c r="H3" s="256"/>
      <c r="I3" s="256"/>
      <c r="J3" s="256"/>
      <c r="K3" s="256"/>
      <c r="L3" s="256"/>
      <c r="M3" s="256"/>
      <c r="N3" s="256"/>
      <c r="O3" s="257"/>
      <c r="P3" s="92"/>
    </row>
    <row r="4" spans="2:18" ht="20.25" customHeight="1" x14ac:dyDescent="0.25">
      <c r="B4" s="70"/>
      <c r="O4" s="82"/>
      <c r="P4" s="70"/>
    </row>
    <row r="5" spans="2:18" x14ac:dyDescent="0.25">
      <c r="B5" s="70"/>
      <c r="D5" s="71"/>
      <c r="F5" s="71"/>
      <c r="G5" s="71"/>
      <c r="H5" s="71"/>
      <c r="J5" s="71"/>
      <c r="L5" s="71"/>
      <c r="N5" s="71"/>
      <c r="O5" s="82"/>
      <c r="P5" s="70"/>
    </row>
    <row r="6" spans="2:18" ht="40.5" customHeight="1" x14ac:dyDescent="0.25">
      <c r="B6" s="70"/>
      <c r="C6" s="251" t="s">
        <v>269</v>
      </c>
      <c r="D6" s="72" t="str">
        <f>Datos!T2</f>
        <v>Muy alta (5)</v>
      </c>
      <c r="F6" s="71"/>
      <c r="G6" s="71"/>
      <c r="H6" s="71"/>
      <c r="J6" s="73">
        <f>COUNTIFS(Mapa_riesgos!$AA$12:$AA$31,$D6,Mapa_riesgos!$AC$12:$AC$31,J$16)</f>
        <v>0</v>
      </c>
      <c r="K6" s="74"/>
      <c r="L6" s="73">
        <f>COUNTIFS(Mapa_riesgos!$AA$12:$AA$31,$D6,Mapa_riesgos!$AC$12:$AC$31,L$16)</f>
        <v>0</v>
      </c>
      <c r="M6" s="74"/>
      <c r="N6" s="75">
        <f>COUNTIFS(Mapa_riesgos!$AA$12:$AA$31,$D6,Mapa_riesgos!$AC$12:$AC$31,N$16)</f>
        <v>0</v>
      </c>
      <c r="O6" s="82"/>
      <c r="P6" s="70"/>
    </row>
    <row r="7" spans="2:18" ht="12" customHeight="1" x14ac:dyDescent="0.25">
      <c r="B7" s="70"/>
      <c r="C7" s="251"/>
      <c r="D7" s="71"/>
      <c r="F7" s="71"/>
      <c r="G7" s="71"/>
      <c r="H7" s="71"/>
      <c r="J7" s="76"/>
      <c r="K7" s="74"/>
      <c r="L7" s="76"/>
      <c r="M7" s="74"/>
      <c r="N7" s="76"/>
      <c r="O7" s="82"/>
      <c r="P7" s="70"/>
    </row>
    <row r="8" spans="2:18" ht="40.5" customHeight="1" x14ac:dyDescent="0.25">
      <c r="B8" s="70"/>
      <c r="C8" s="251"/>
      <c r="D8" s="72" t="str">
        <f>Datos!T3</f>
        <v>Alta (4)</v>
      </c>
      <c r="F8" s="71"/>
      <c r="G8" s="71"/>
      <c r="H8" s="71"/>
      <c r="J8" s="73">
        <f>COUNTIFS(Mapa_riesgos!$AA$12:$AA$31,$D8,Mapa_riesgos!$AC$12:$AC$31,J$16)</f>
        <v>0</v>
      </c>
      <c r="K8" s="74"/>
      <c r="L8" s="73">
        <f>COUNTIFS(Mapa_riesgos!$AA$12:$AA$31,$D8,Mapa_riesgos!$AC$12:$AC$31,L$16)</f>
        <v>0</v>
      </c>
      <c r="M8" s="74"/>
      <c r="N8" s="75">
        <f>COUNTIFS(Mapa_riesgos!$AA$12:$AA$31,$D8,Mapa_riesgos!$AC$12:$AC$31,N$16)</f>
        <v>0</v>
      </c>
      <c r="O8" s="82"/>
      <c r="P8" s="70"/>
    </row>
    <row r="9" spans="2:18" ht="11.25" customHeight="1" x14ac:dyDescent="0.25">
      <c r="B9" s="70"/>
      <c r="C9" s="251"/>
      <c r="D9" s="71"/>
      <c r="F9" s="71"/>
      <c r="G9" s="71"/>
      <c r="H9" s="71"/>
      <c r="J9" s="76"/>
      <c r="K9" s="74"/>
      <c r="L9" s="76"/>
      <c r="M9" s="74"/>
      <c r="N9" s="76"/>
      <c r="O9" s="82"/>
      <c r="P9" s="70"/>
    </row>
    <row r="10" spans="2:18" ht="40.5" customHeight="1" x14ac:dyDescent="0.25">
      <c r="B10" s="70"/>
      <c r="C10" s="251"/>
      <c r="D10" s="72" t="str">
        <f>Datos!T4</f>
        <v>Media (3)</v>
      </c>
      <c r="F10" s="71"/>
      <c r="G10" s="71"/>
      <c r="H10" s="71"/>
      <c r="J10" s="77">
        <f>COUNTIFS(Mapa_riesgos!$AA$12:$AA$31,$D10,Mapa_riesgos!$AC$12:$AC$31,J$16)</f>
        <v>0</v>
      </c>
      <c r="K10" s="74"/>
      <c r="L10" s="73">
        <f>COUNTIFS(Mapa_riesgos!$AA$12:$AA$31,$D10,Mapa_riesgos!$AC$12:$AC$31,L$16)</f>
        <v>0</v>
      </c>
      <c r="M10" s="74"/>
      <c r="N10" s="75">
        <f>COUNTIFS(Mapa_riesgos!$AA$12:$AA$31,$D10,Mapa_riesgos!$AC$12:$AC$31,N$16)</f>
        <v>0</v>
      </c>
      <c r="O10" s="82"/>
      <c r="P10" s="70"/>
      <c r="R10" s="98"/>
    </row>
    <row r="11" spans="2:18" ht="9" customHeight="1" x14ac:dyDescent="0.25">
      <c r="B11" s="70"/>
      <c r="C11" s="251"/>
      <c r="D11" s="71"/>
      <c r="F11" s="71"/>
      <c r="G11" s="71"/>
      <c r="H11" s="71"/>
      <c r="J11" s="76"/>
      <c r="K11" s="74"/>
      <c r="L11" s="76"/>
      <c r="M11" s="74"/>
      <c r="N11" s="76"/>
      <c r="O11" s="82"/>
      <c r="P11" s="70"/>
    </row>
    <row r="12" spans="2:18" ht="40.5" customHeight="1" x14ac:dyDescent="0.25">
      <c r="B12" s="70"/>
      <c r="C12" s="251"/>
      <c r="D12" s="72" t="str">
        <f>Datos!T5</f>
        <v>Baja (2)</v>
      </c>
      <c r="F12" s="71"/>
      <c r="G12" s="71"/>
      <c r="H12" s="71"/>
      <c r="J12" s="77">
        <f>COUNTIFS(Mapa_riesgos!$AA$12:$AA$31,$D12,Mapa_riesgos!$AC$12:$AC$31,J$16)</f>
        <v>0</v>
      </c>
      <c r="K12" s="74"/>
      <c r="L12" s="73">
        <f>COUNTIFS(Mapa_riesgos!$AA$12:$AA$31,$D12,Mapa_riesgos!$AC$12:$AC$31,L$16)</f>
        <v>0</v>
      </c>
      <c r="M12" s="74"/>
      <c r="N12" s="75">
        <f>COUNTIFS(Mapa_riesgos!$AA$12:$AA$31,$D12,Mapa_riesgos!$AC$12:$AC$31,N$16)</f>
        <v>0</v>
      </c>
      <c r="O12" s="82"/>
      <c r="P12" s="70"/>
      <c r="R12" s="99"/>
    </row>
    <row r="13" spans="2:18" ht="9.75" customHeight="1" x14ac:dyDescent="0.25">
      <c r="B13" s="70"/>
      <c r="C13" s="251"/>
      <c r="D13" s="71"/>
      <c r="F13" s="71"/>
      <c r="G13" s="71"/>
      <c r="H13" s="71"/>
      <c r="J13" s="76"/>
      <c r="K13" s="74"/>
      <c r="L13" s="76"/>
      <c r="M13" s="74"/>
      <c r="N13" s="76"/>
      <c r="O13" s="82"/>
      <c r="P13" s="70"/>
    </row>
    <row r="14" spans="2:18" ht="40.5" customHeight="1" x14ac:dyDescent="0.25">
      <c r="B14" s="70"/>
      <c r="C14" s="251"/>
      <c r="D14" s="72" t="str">
        <f>Datos!T6</f>
        <v>Muy baja (1)</v>
      </c>
      <c r="F14" s="71"/>
      <c r="G14" s="71"/>
      <c r="H14" s="71"/>
      <c r="J14" s="77">
        <f>COUNTIFS(Mapa_riesgos!$AA$12:$AA$31,$D14,Mapa_riesgos!$AC$12:$AC$31,J$16)</f>
        <v>1</v>
      </c>
      <c r="K14" s="74"/>
      <c r="L14" s="73">
        <f>COUNTIFS(Mapa_riesgos!$AA$12:$AA$31,$D14,Mapa_riesgos!$AC$12:$AC$31,L$16)</f>
        <v>13</v>
      </c>
      <c r="M14" s="74"/>
      <c r="N14" s="75">
        <f>COUNTIFS(Mapa_riesgos!$AA$12:$AA$31,$D14,Mapa_riesgos!$AC$12:$AC$31,N$16)</f>
        <v>6</v>
      </c>
      <c r="O14" s="82"/>
      <c r="P14" s="70"/>
    </row>
    <row r="15" spans="2:18" ht="27.75" customHeight="1" x14ac:dyDescent="0.25">
      <c r="B15" s="70"/>
      <c r="D15" s="71"/>
      <c r="F15" s="71"/>
      <c r="G15" s="71"/>
      <c r="H15" s="71"/>
      <c r="J15" s="71"/>
      <c r="L15" s="71"/>
      <c r="N15" s="71"/>
      <c r="O15" s="82"/>
      <c r="P15" s="70"/>
    </row>
    <row r="16" spans="2:18" ht="41.25" customHeight="1" x14ac:dyDescent="0.25">
      <c r="B16" s="70"/>
      <c r="J16" s="72" t="str">
        <f>Datos!U4</f>
        <v>Moderado (3)</v>
      </c>
      <c r="K16" s="78"/>
      <c r="L16" s="72" t="str">
        <f>Datos!U3</f>
        <v>Mayor (4)</v>
      </c>
      <c r="M16" s="78"/>
      <c r="N16" s="72" t="str">
        <f>Datos!U2</f>
        <v>Catastrófico (5)</v>
      </c>
      <c r="O16" s="82"/>
      <c r="P16" s="70"/>
    </row>
    <row r="17" spans="2:16" ht="41.25" customHeight="1" x14ac:dyDescent="0.25">
      <c r="B17" s="70"/>
      <c r="J17" s="81" t="s">
        <v>268</v>
      </c>
      <c r="K17" s="80"/>
      <c r="L17" s="79"/>
      <c r="M17" s="80"/>
      <c r="N17" s="79"/>
      <c r="O17" s="82"/>
      <c r="P17" s="70"/>
    </row>
    <row r="18" spans="2:16" ht="18" customHeight="1" x14ac:dyDescent="0.25">
      <c r="B18" s="70"/>
      <c r="O18" s="82"/>
      <c r="P18" s="70"/>
    </row>
    <row r="19" spans="2:16" ht="26.25" x14ac:dyDescent="0.25">
      <c r="B19" s="70"/>
      <c r="D19" s="81" t="s">
        <v>224</v>
      </c>
      <c r="G19" s="74"/>
      <c r="H19" s="83">
        <f>+F8+F10+H8+H10+H12+J10+J12+J14</f>
        <v>1</v>
      </c>
      <c r="I19" s="74"/>
      <c r="J19" s="83">
        <f>+F6+H6+J6+J8+L6+L8+L10+L12+L14</f>
        <v>13</v>
      </c>
      <c r="K19" s="74"/>
      <c r="L19" s="83">
        <f>+N6+N8+N10+N12+N14</f>
        <v>6</v>
      </c>
      <c r="M19" s="80"/>
      <c r="N19" s="80"/>
      <c r="O19" s="82"/>
      <c r="P19" s="70"/>
    </row>
    <row r="20" spans="2:16" ht="26.25" customHeight="1" x14ac:dyDescent="0.3">
      <c r="B20" s="70"/>
      <c r="D20" s="84">
        <f>SUM(F6:N14)</f>
        <v>20</v>
      </c>
      <c r="G20" s="85"/>
      <c r="H20" s="86" t="s">
        <v>84</v>
      </c>
      <c r="I20" s="85"/>
      <c r="J20" s="87" t="s">
        <v>270</v>
      </c>
      <c r="K20" s="85"/>
      <c r="L20" s="88" t="s">
        <v>271</v>
      </c>
      <c r="O20" s="82"/>
      <c r="P20" s="70"/>
    </row>
    <row r="21" spans="2:16" x14ac:dyDescent="0.25">
      <c r="B21" s="89"/>
      <c r="C21" s="90"/>
      <c r="D21" s="90"/>
      <c r="E21" s="90"/>
      <c r="F21" s="90"/>
      <c r="G21" s="90"/>
      <c r="H21" s="90"/>
      <c r="I21" s="90"/>
      <c r="J21" s="90"/>
      <c r="K21" s="90"/>
      <c r="L21" s="90"/>
      <c r="M21" s="90"/>
      <c r="N21" s="90"/>
      <c r="O21" s="91"/>
      <c r="P21" s="70"/>
    </row>
  </sheetData>
  <mergeCells count="2">
    <mergeCell ref="C6:C14"/>
    <mergeCell ref="B2:O3"/>
  </mergeCells>
  <conditionalFormatting sqref="J6 L6 J8 L8 L10 L12 L14">
    <cfRule type="cellIs" dxfId="2" priority="2" operator="equal">
      <formula>0</formula>
    </cfRule>
  </conditionalFormatting>
  <conditionalFormatting sqref="J10 J12 J14">
    <cfRule type="cellIs" dxfId="1" priority="3"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2023-03-28T14:26:00Z</cp:lastPrinted>
  <dcterms:created xsi:type="dcterms:W3CDTF">2019-02-01T14:35:23Z</dcterms:created>
  <dcterms:modified xsi:type="dcterms:W3CDTF">2024-01-29T19:55:24Z</dcterms:modified>
  <cp:category/>
  <cp:contentStatus/>
</cp:coreProperties>
</file>